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ves Perso\Documents\Maison\Pivert\Chaudière\Nouvelle chaudière\Etude\"/>
    </mc:Choice>
  </mc:AlternateContent>
  <bookViews>
    <workbookView xWindow="0" yWindow="0" windowWidth="20490" windowHeight="7125" activeTab="1"/>
  </bookViews>
  <sheets>
    <sheet name="Architecture" sheetId="17" r:id="rId1"/>
    <sheet name="Déperditions" sheetId="13" r:id="rId2"/>
  </sheets>
  <definedNames>
    <definedName name="Conso">#REF!</definedName>
    <definedName name="Correc">#REF!</definedName>
    <definedName name="DJU">Déperditions!$B$28</definedName>
    <definedName name="DT">Déperditions!$B$27</definedName>
    <definedName name="ECS_nbpers">#REF!</definedName>
    <definedName name="GV">Déperditions!$B$37</definedName>
    <definedName name="Hauteur_ss_plafond">#REF!</definedName>
    <definedName name="litres_pers_j">#REF!</definedName>
    <definedName name="PCS_PCI">#REF!</definedName>
    <definedName name="Pgen">#REF!</definedName>
    <definedName name="R_géné">#REF!</definedName>
    <definedName name="Surface_habitable">#REF!</definedName>
    <definedName name="Surface_totale_ext">Architecture!$B$18</definedName>
    <definedName name="Tbase">#REF!</definedName>
    <definedName name="Temp">#REF!</definedName>
    <definedName name="Vol_ECS">#REF!</definedName>
    <definedName name="Volume_hab">Architecture!$B$16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7" i="13" l="1"/>
  <c r="B16" i="17"/>
  <c r="C19" i="17"/>
  <c r="F32" i="17" l="1"/>
  <c r="F33" i="17"/>
  <c r="F34" i="17"/>
  <c r="F35" i="17"/>
  <c r="F36" i="17"/>
  <c r="F37" i="17"/>
  <c r="F38" i="17"/>
  <c r="F31" i="17"/>
  <c r="E32" i="17"/>
  <c r="E33" i="17"/>
  <c r="E34" i="17"/>
  <c r="E35" i="17"/>
  <c r="E36" i="17"/>
  <c r="E37" i="17"/>
  <c r="E38" i="17"/>
  <c r="E31" i="17"/>
  <c r="P14" i="13" l="1"/>
  <c r="B6" i="17" l="1"/>
  <c r="K5" i="13" l="1"/>
  <c r="B4" i="17"/>
  <c r="B3" i="17"/>
  <c r="B2" i="17"/>
  <c r="I5" i="13"/>
  <c r="I3" i="13"/>
  <c r="K4" i="13"/>
  <c r="B11" i="17"/>
  <c r="B12" i="17" s="1"/>
  <c r="B9" i="17"/>
  <c r="B10" i="17"/>
  <c r="B17" i="17" s="1"/>
  <c r="B18" i="17" s="1"/>
  <c r="B24" i="17"/>
  <c r="B23" i="17"/>
  <c r="B26" i="17"/>
  <c r="B25" i="17"/>
  <c r="C8" i="13" s="1"/>
  <c r="B19" i="17" l="1"/>
  <c r="B27" i="17" s="1"/>
  <c r="B20" i="17"/>
  <c r="D15" i="13" l="1"/>
  <c r="D16" i="13"/>
  <c r="D17" i="13"/>
  <c r="B8" i="13"/>
  <c r="B7" i="13"/>
  <c r="B6" i="13"/>
  <c r="B3" i="13"/>
  <c r="B5" i="13"/>
  <c r="C7" i="13"/>
  <c r="C13" i="13" l="1"/>
  <c r="C14" i="13"/>
  <c r="D4" i="13"/>
  <c r="B33" i="13" s="1"/>
  <c r="D5" i="13"/>
  <c r="B34" i="13" s="1"/>
  <c r="D8" i="13"/>
  <c r="D7" i="13"/>
  <c r="C6" i="13"/>
  <c r="D9" i="13"/>
  <c r="D14" i="13" l="1"/>
  <c r="D13" i="13"/>
  <c r="D6" i="13"/>
  <c r="B35" i="13" s="1"/>
  <c r="C3" i="13" l="1"/>
  <c r="D3" i="13" l="1"/>
  <c r="B31" i="13" s="1"/>
  <c r="C31" i="13" l="1"/>
  <c r="E31" i="13"/>
  <c r="B32" i="13"/>
  <c r="B22" i="13" l="1"/>
  <c r="B36" i="13" l="1"/>
  <c r="B37" i="13" s="1"/>
  <c r="D31" i="13" s="1"/>
  <c r="D22" i="13"/>
  <c r="E37" i="13" l="1"/>
  <c r="D33" i="13"/>
  <c r="D32" i="13"/>
  <c r="D36" i="13"/>
  <c r="D35" i="13"/>
  <c r="D34" i="13"/>
  <c r="C36" i="13"/>
  <c r="C37" i="13"/>
  <c r="C34" i="13"/>
  <c r="C32" i="13"/>
  <c r="C35" i="13"/>
  <c r="C33" i="13"/>
  <c r="E35" i="13" l="1"/>
  <c r="E34" i="13"/>
  <c r="E32" i="13"/>
  <c r="E36" i="13"/>
  <c r="E33" i="13"/>
</calcChain>
</file>

<file path=xl/sharedStrings.xml><?xml version="1.0" encoding="utf-8"?>
<sst xmlns="http://schemas.openxmlformats.org/spreadsheetml/2006/main" count="116" uniqueCount="99">
  <si>
    <t>Longueur</t>
  </si>
  <si>
    <t>Surface</t>
  </si>
  <si>
    <t>kWh</t>
  </si>
  <si>
    <t>Vitrage PVC</t>
  </si>
  <si>
    <t>Vitrage Alu</t>
  </si>
  <si>
    <t>nb</t>
  </si>
  <si>
    <t>h</t>
  </si>
  <si>
    <t>l</t>
  </si>
  <si>
    <t>pvc</t>
  </si>
  <si>
    <t>alu</t>
  </si>
  <si>
    <t>bois plein</t>
  </si>
  <si>
    <t>bois vitré</t>
  </si>
  <si>
    <t>surf</t>
  </si>
  <si>
    <t>Matière</t>
  </si>
  <si>
    <t>U placo 2,5 / lambda roche 0,044</t>
  </si>
  <si>
    <t>Ep lame air 8 / Ug=3,0</t>
  </si>
  <si>
    <t>Porte pleine isolée</t>
  </si>
  <si>
    <t>U W/m2.K</t>
  </si>
  <si>
    <t>Déper W/K</t>
  </si>
  <si>
    <t>Ponts thermiques</t>
  </si>
  <si>
    <t>Mur ext et plancher bas ITI</t>
  </si>
  <si>
    <t>Mur ext ITI</t>
  </si>
  <si>
    <t>Négligé</t>
  </si>
  <si>
    <t>Nu intérieur</t>
  </si>
  <si>
    <t>Mur ext ITI / refend 3,5 + refend 3,05</t>
  </si>
  <si>
    <t>Ventilation</t>
  </si>
  <si>
    <t xml:space="preserve">Longueur int </t>
  </si>
  <si>
    <t xml:space="preserve">Largeur int  </t>
  </si>
  <si>
    <t xml:space="preserve">Longueur ext </t>
  </si>
  <si>
    <t xml:space="preserve">Largeur ext  </t>
  </si>
  <si>
    <t xml:space="preserve">Périm ext bas </t>
  </si>
  <si>
    <t xml:space="preserve">Périm ext haut </t>
  </si>
  <si>
    <t xml:space="preserve">Hauteur ss plafond  </t>
  </si>
  <si>
    <t xml:space="preserve">Surface int RdC  </t>
  </si>
  <si>
    <t xml:space="preserve">Surface int étage  </t>
  </si>
  <si>
    <t xml:space="preserve">Surface habitable  </t>
  </si>
  <si>
    <t xml:space="preserve">Surface verticale ext  </t>
  </si>
  <si>
    <t xml:space="preserve">Surface totale ext </t>
  </si>
  <si>
    <t xml:space="preserve">Surface ouvertures  </t>
  </si>
  <si>
    <t xml:space="preserve">Surface murs ext  </t>
  </si>
  <si>
    <t xml:space="preserve">Total PVC  </t>
  </si>
  <si>
    <t xml:space="preserve">Total Alu </t>
  </si>
  <si>
    <t xml:space="preserve">Total Bois vitré  </t>
  </si>
  <si>
    <t xml:space="preserve">Total Bois plein  </t>
  </si>
  <si>
    <t xml:space="preserve">Détail ouvertures  </t>
  </si>
  <si>
    <t xml:space="preserve">Murs </t>
  </si>
  <si>
    <t xml:space="preserve">Plancher </t>
  </si>
  <si>
    <t xml:space="preserve">Portes bois vitré </t>
  </si>
  <si>
    <t xml:space="preserve">Portes bois plein </t>
  </si>
  <si>
    <t xml:space="preserve">Plancher bas / mur </t>
  </si>
  <si>
    <t xml:space="preserve">Plancher inter / mur </t>
  </si>
  <si>
    <t xml:space="preserve">Plancher haut / mur </t>
  </si>
  <si>
    <t xml:space="preserve">Refend / mur </t>
  </si>
  <si>
    <t xml:space="preserve">Menuiserie / mur </t>
  </si>
  <si>
    <t xml:space="preserve">DR  </t>
  </si>
  <si>
    <t xml:space="preserve">Hvent </t>
  </si>
  <si>
    <t xml:space="preserve">Hperm </t>
  </si>
  <si>
    <t xml:space="preserve">Surface ext RdC  </t>
  </si>
  <si>
    <t xml:space="preserve">Surface ext étage  </t>
  </si>
  <si>
    <t>Hauteur bâtiment</t>
  </si>
  <si>
    <t xml:space="preserve">Ratio ouverture </t>
  </si>
  <si>
    <t>Mesures maison</t>
  </si>
  <si>
    <t xml:space="preserve">Umur </t>
  </si>
  <si>
    <t xml:space="preserve">R roche </t>
  </si>
  <si>
    <t xml:space="preserve">Uph </t>
  </si>
  <si>
    <t xml:space="preserve">Upb </t>
  </si>
  <si>
    <t xml:space="preserve">Uw </t>
  </si>
  <si>
    <t xml:space="preserve">U </t>
  </si>
  <si>
    <t xml:space="preserve">2S/P </t>
  </si>
  <si>
    <t xml:space="preserve">Ue </t>
  </si>
  <si>
    <t xml:space="preserve">Ujn  </t>
  </si>
  <si>
    <t>W/K</t>
  </si>
  <si>
    <t>K W/m.K</t>
  </si>
  <si>
    <t>m3/h</t>
  </si>
  <si>
    <t>kW</t>
  </si>
  <si>
    <t>%</t>
  </si>
  <si>
    <t>Ouvertures</t>
  </si>
  <si>
    <t>Delta T</t>
  </si>
  <si>
    <t xml:space="preserve">Eléments </t>
  </si>
  <si>
    <t>Volume habitable</t>
  </si>
  <si>
    <t>Tbase</t>
  </si>
  <si>
    <t xml:space="preserve">Synthèse Déperditions </t>
  </si>
  <si>
    <t xml:space="preserve">Déperditions surfaciques </t>
  </si>
  <si>
    <t>Eléments</t>
  </si>
  <si>
    <t>Bases de calcul</t>
  </si>
  <si>
    <t>Murs hors ponts thermiques</t>
  </si>
  <si>
    <t>Murs avec ponts thermiques</t>
  </si>
  <si>
    <t>GV (total)</t>
  </si>
  <si>
    <t>U mur nu 2,5 / R Placomur 2,65</t>
  </si>
  <si>
    <t>U dalle 2 / R isolant 1,05</t>
  </si>
  <si>
    <t>19° conventionnelle / 21°C dépensière</t>
  </si>
  <si>
    <t>Température choisie °C</t>
  </si>
  <si>
    <t>Surface calculée</t>
  </si>
  <si>
    <t>0,92 dans JO</t>
  </si>
  <si>
    <t>kWh PCI</t>
  </si>
  <si>
    <t>DJU 18°C (apports)</t>
  </si>
  <si>
    <t>DJU 21°C</t>
  </si>
  <si>
    <t>surf unitaire</t>
  </si>
  <si>
    <t>Combles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</si>
</sst>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right" vertical="top"/>
    </xf>
    <xf numFmtId="0" fontId="0" fillId="0" borderId="0" xfId="0" applyFill="1" applyBorder="1" applyAlignment="1">
      <alignment vertical="top"/>
    </xf>
    <xf numFmtId="0" fontId="2" fillId="0" borderId="0" xfId="0" applyFont="1" applyAlignment="1">
      <alignment horizontal="center" vertical="top"/>
    </xf>
    <xf numFmtId="0" fontId="0" fillId="0" borderId="1" xfId="0" applyBorder="1" applyAlignment="1">
      <alignment vertical="top"/>
    </xf>
    <xf numFmtId="2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9" fontId="0" fillId="0" borderId="1" xfId="1" applyFont="1" applyBorder="1" applyAlignment="1">
      <alignment vertical="top"/>
    </xf>
    <xf numFmtId="2" fontId="0" fillId="0" borderId="0" xfId="0" applyNumberFormat="1" applyBorder="1" applyAlignment="1">
      <alignment vertical="top"/>
    </xf>
    <xf numFmtId="2" fontId="0" fillId="0" borderId="1" xfId="0" applyNumberFormat="1" applyFill="1" applyBorder="1" applyAlignment="1">
      <alignment vertical="top"/>
    </xf>
    <xf numFmtId="2" fontId="0" fillId="0" borderId="1" xfId="0" applyNumberFormat="1" applyBorder="1" applyAlignment="1">
      <alignment vertical="top"/>
    </xf>
    <xf numFmtId="2" fontId="0" fillId="0" borderId="0" xfId="0" applyNumberFormat="1" applyBorder="1" applyAlignment="1">
      <alignment horizontal="right" vertical="top"/>
    </xf>
    <xf numFmtId="3" fontId="0" fillId="0" borderId="1" xfId="0" applyNumberFormat="1" applyBorder="1" applyAlignment="1">
      <alignment vertical="top"/>
    </xf>
    <xf numFmtId="3" fontId="0" fillId="0" borderId="0" xfId="0" applyNumberFormat="1" applyAlignment="1">
      <alignment vertical="top"/>
    </xf>
    <xf numFmtId="2" fontId="0" fillId="0" borderId="0" xfId="0" applyNumberFormat="1" applyAlignment="1">
      <alignment horizontal="right" vertical="top"/>
    </xf>
    <xf numFmtId="0" fontId="0" fillId="0" borderId="0" xfId="0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0" fillId="0" borderId="0" xfId="0" applyFill="1" applyBorder="1" applyAlignment="1">
      <alignment horizontal="right" vertical="top"/>
    </xf>
    <xf numFmtId="2" fontId="0" fillId="0" borderId="0" xfId="0" applyNumberFormat="1" applyFill="1" applyBorder="1" applyAlignment="1">
      <alignment vertical="top"/>
    </xf>
    <xf numFmtId="0" fontId="2" fillId="0" borderId="0" xfId="0" applyFont="1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/>
    </xf>
    <xf numFmtId="0" fontId="2" fillId="3" borderId="1" xfId="0" applyFont="1" applyFill="1" applyBorder="1" applyAlignment="1">
      <alignment horizontal="center" vertical="top"/>
    </xf>
    <xf numFmtId="0" fontId="0" fillId="2" borderId="1" xfId="0" applyFill="1" applyBorder="1" applyAlignment="1">
      <alignment horizontal="left"/>
    </xf>
    <xf numFmtId="3" fontId="0" fillId="0" borderId="1" xfId="0" applyNumberFormat="1" applyFill="1" applyBorder="1" applyAlignment="1">
      <alignment vertical="top"/>
    </xf>
    <xf numFmtId="3" fontId="2" fillId="3" borderId="1" xfId="0" applyNumberFormat="1" applyFont="1" applyFill="1" applyBorder="1" applyAlignment="1">
      <alignment horizontal="center" vertical="top"/>
    </xf>
    <xf numFmtId="4" fontId="0" fillId="0" borderId="0" xfId="0" applyNumberFormat="1" applyAlignment="1">
      <alignment vertical="top"/>
    </xf>
    <xf numFmtId="0" fontId="0" fillId="0" borderId="1" xfId="0" applyFill="1" applyBorder="1" applyAlignment="1">
      <alignment vertical="top"/>
    </xf>
    <xf numFmtId="0" fontId="2" fillId="2" borderId="1" xfId="0" applyFont="1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horizontal="left" vertical="top"/>
    </xf>
    <xf numFmtId="2" fontId="0" fillId="2" borderId="1" xfId="0" applyNumberForma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2" fontId="2" fillId="2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2" fillId="4" borderId="1" xfId="0" applyFont="1" applyFill="1" applyBorder="1" applyAlignment="1">
      <alignment horizontal="left" vertical="top"/>
    </xf>
    <xf numFmtId="2" fontId="2" fillId="4" borderId="1" xfId="0" applyNumberFormat="1" applyFont="1" applyFill="1" applyBorder="1" applyAlignment="1">
      <alignment horizontal="center" vertical="top"/>
    </xf>
    <xf numFmtId="9" fontId="0" fillId="0" borderId="1" xfId="1" applyFont="1" applyFill="1" applyBorder="1" applyAlignment="1">
      <alignment vertical="top"/>
    </xf>
    <xf numFmtId="4" fontId="0" fillId="0" borderId="1" xfId="0" applyNumberFormat="1" applyFill="1" applyBorder="1" applyAlignment="1">
      <alignment vertical="top"/>
    </xf>
    <xf numFmtId="4" fontId="0" fillId="0" borderId="0" xfId="0" applyNumberFormat="1" applyFill="1" applyBorder="1" applyAlignment="1">
      <alignment vertical="top"/>
    </xf>
    <xf numFmtId="2" fontId="2" fillId="2" borderId="1" xfId="0" applyNumberFormat="1" applyFont="1" applyFill="1" applyBorder="1" applyAlignment="1">
      <alignment vertical="top"/>
    </xf>
    <xf numFmtId="3" fontId="2" fillId="2" borderId="1" xfId="0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>
      <alignment horizontal="center" vertical="top"/>
    </xf>
    <xf numFmtId="1" fontId="0" fillId="0" borderId="1" xfId="0" applyNumberFormat="1" applyFill="1" applyBorder="1" applyAlignment="1">
      <alignment vertical="top"/>
    </xf>
    <xf numFmtId="1" fontId="0" fillId="0" borderId="1" xfId="0" applyNumberFormat="1" applyBorder="1" applyAlignment="1">
      <alignment vertical="top"/>
    </xf>
    <xf numFmtId="0" fontId="2" fillId="3" borderId="1" xfId="0" applyFont="1" applyFill="1" applyBorder="1" applyAlignment="1">
      <alignment horizontal="left" vertical="top"/>
    </xf>
    <xf numFmtId="0" fontId="2" fillId="3" borderId="3" xfId="0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/>
    </xf>
    <xf numFmtId="0" fontId="2" fillId="3" borderId="2" xfId="0" applyFont="1" applyFill="1" applyBorder="1" applyAlignment="1">
      <alignment horizontal="left" vertical="top"/>
    </xf>
    <xf numFmtId="0" fontId="0" fillId="0" borderId="1" xfId="0" applyFill="1" applyBorder="1" applyAlignment="1">
      <alignment vertical="top"/>
    </xf>
    <xf numFmtId="0" fontId="2" fillId="4" borderId="1" xfId="0" applyFont="1" applyFill="1" applyBorder="1" applyAlignment="1">
      <alignment horizontal="center" vertical="top"/>
    </xf>
    <xf numFmtId="9" fontId="0" fillId="0" borderId="0" xfId="1" applyFont="1" applyAlignment="1">
      <alignment vertical="top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showGridLines="0" topLeftCell="A57" workbookViewId="0">
      <selection activeCell="B16" sqref="B16"/>
    </sheetView>
  </sheetViews>
  <sheetFormatPr baseColWidth="10" defaultRowHeight="15" x14ac:dyDescent="0.25"/>
  <cols>
    <col min="1" max="1" width="21.140625" customWidth="1"/>
  </cols>
  <sheetData>
    <row r="1" spans="1:6" x14ac:dyDescent="0.25">
      <c r="A1" s="49" t="s">
        <v>61</v>
      </c>
      <c r="B1" s="49"/>
      <c r="C1" s="8"/>
      <c r="D1" s="3"/>
      <c r="E1" s="3"/>
      <c r="F1" s="3"/>
    </row>
    <row r="2" spans="1:6" x14ac:dyDescent="0.25">
      <c r="A2" s="34" t="s">
        <v>26</v>
      </c>
      <c r="B2" s="12">
        <f>B7-0.7</f>
        <v>8.64</v>
      </c>
      <c r="C2" s="8"/>
      <c r="D2" s="3"/>
      <c r="E2" s="3"/>
      <c r="F2" s="3"/>
    </row>
    <row r="3" spans="1:6" x14ac:dyDescent="0.25">
      <c r="A3" s="34" t="s">
        <v>27</v>
      </c>
      <c r="B3" s="12">
        <f>B8-0.7</f>
        <v>9.84</v>
      </c>
      <c r="C3" s="8"/>
      <c r="D3" s="3"/>
      <c r="E3" s="3"/>
      <c r="F3" s="3"/>
    </row>
    <row r="4" spans="1:6" x14ac:dyDescent="0.25">
      <c r="A4" s="34" t="s">
        <v>33</v>
      </c>
      <c r="B4" s="13">
        <f>B2*B3+2.96-1.93*1.12</f>
        <v>85.816000000000003</v>
      </c>
      <c r="C4" s="8"/>
      <c r="D4" s="3"/>
      <c r="E4" s="3"/>
      <c r="F4" s="2"/>
    </row>
    <row r="5" spans="1:6" x14ac:dyDescent="0.25">
      <c r="A5" s="34" t="s">
        <v>34</v>
      </c>
      <c r="B5" s="13">
        <v>90.300000000000011</v>
      </c>
      <c r="C5" s="8"/>
      <c r="D5" s="3"/>
      <c r="E5" s="3"/>
      <c r="F5" s="2"/>
    </row>
    <row r="6" spans="1:6" x14ac:dyDescent="0.25">
      <c r="A6" s="34" t="s">
        <v>92</v>
      </c>
      <c r="B6" s="13">
        <f>B4+B5</f>
        <v>176.11600000000001</v>
      </c>
      <c r="C6" s="8"/>
      <c r="D6" s="3"/>
      <c r="E6" s="3"/>
      <c r="F6" s="2"/>
    </row>
    <row r="7" spans="1:6" x14ac:dyDescent="0.25">
      <c r="A7" s="35" t="s">
        <v>28</v>
      </c>
      <c r="B7" s="7">
        <v>9.34</v>
      </c>
      <c r="C7" s="3"/>
      <c r="D7" s="3"/>
      <c r="E7" s="3"/>
      <c r="F7" s="3"/>
    </row>
    <row r="8" spans="1:6" x14ac:dyDescent="0.25">
      <c r="A8" s="35" t="s">
        <v>29</v>
      </c>
      <c r="B8" s="7">
        <v>10.54</v>
      </c>
      <c r="C8" s="3"/>
      <c r="D8" s="3"/>
      <c r="E8" s="3"/>
      <c r="F8" s="3"/>
    </row>
    <row r="9" spans="1:6" x14ac:dyDescent="0.25">
      <c r="A9" s="34" t="s">
        <v>30</v>
      </c>
      <c r="B9" s="7">
        <f>2*(B7+B8)+2</f>
        <v>41.76</v>
      </c>
      <c r="C9" s="3"/>
      <c r="D9" s="3"/>
      <c r="E9" s="3"/>
      <c r="F9" s="17"/>
    </row>
    <row r="10" spans="1:6" x14ac:dyDescent="0.25">
      <c r="A10" s="34" t="s">
        <v>31</v>
      </c>
      <c r="B10" s="7">
        <f>2*(B7+B8)+2+0.75</f>
        <v>42.51</v>
      </c>
      <c r="C10" s="3"/>
      <c r="D10" s="3"/>
      <c r="E10" s="3"/>
      <c r="F10" s="17"/>
    </row>
    <row r="11" spans="1:6" x14ac:dyDescent="0.25">
      <c r="A11" s="34" t="s">
        <v>57</v>
      </c>
      <c r="B11" s="12">
        <f>B7*B8+3.66</f>
        <v>102.10359999999999</v>
      </c>
      <c r="C11" s="14"/>
      <c r="D11" s="2"/>
      <c r="E11" s="2"/>
      <c r="F11" s="2"/>
    </row>
    <row r="12" spans="1:6" x14ac:dyDescent="0.25">
      <c r="A12" s="34" t="s">
        <v>58</v>
      </c>
      <c r="B12" s="12">
        <f>B11+2.1*0.75</f>
        <v>103.67859999999999</v>
      </c>
      <c r="C12" s="14"/>
      <c r="D12" s="2"/>
      <c r="E12" s="2"/>
      <c r="F12" s="2"/>
    </row>
    <row r="13" spans="1:6" x14ac:dyDescent="0.25">
      <c r="A13" s="34" t="s">
        <v>32</v>
      </c>
      <c r="B13" s="12">
        <v>2.7</v>
      </c>
      <c r="C13" s="14"/>
      <c r="D13" s="2"/>
      <c r="E13" s="2"/>
      <c r="F13" s="2"/>
    </row>
    <row r="14" spans="1:6" x14ac:dyDescent="0.25">
      <c r="A14" s="34" t="s">
        <v>59</v>
      </c>
      <c r="B14" s="12">
        <v>5.85</v>
      </c>
      <c r="C14" s="14"/>
      <c r="D14" s="2"/>
      <c r="E14" s="2"/>
      <c r="F14" s="2"/>
    </row>
    <row r="15" spans="1:6" x14ac:dyDescent="0.25">
      <c r="A15" s="34" t="s">
        <v>35</v>
      </c>
      <c r="B15" s="13">
        <v>160</v>
      </c>
      <c r="C15" s="8"/>
      <c r="D15" s="3"/>
      <c r="E15" s="3"/>
      <c r="F15" s="3"/>
    </row>
    <row r="16" spans="1:6" x14ac:dyDescent="0.25">
      <c r="A16" s="34" t="s">
        <v>79</v>
      </c>
      <c r="B16" s="13">
        <f>B13*B15</f>
        <v>432</v>
      </c>
      <c r="C16" s="8"/>
      <c r="D16" s="3"/>
      <c r="E16" s="3"/>
      <c r="F16" s="3"/>
    </row>
    <row r="17" spans="1:6" x14ac:dyDescent="0.25">
      <c r="A17" s="34" t="s">
        <v>36</v>
      </c>
      <c r="B17" s="13">
        <f>B10*B14</f>
        <v>248.68349999999998</v>
      </c>
      <c r="C17" s="8"/>
      <c r="D17" s="3"/>
      <c r="E17" s="3"/>
      <c r="F17" s="3"/>
    </row>
    <row r="18" spans="1:6" x14ac:dyDescent="0.25">
      <c r="A18" s="34" t="s">
        <v>37</v>
      </c>
      <c r="B18" s="13">
        <f>B17+B11+B12</f>
        <v>454.46569999999997</v>
      </c>
      <c r="C18" s="8"/>
      <c r="D18" s="3"/>
      <c r="E18" s="3"/>
      <c r="F18" s="3"/>
    </row>
    <row r="19" spans="1:6" x14ac:dyDescent="0.25">
      <c r="A19" s="34" t="s">
        <v>38</v>
      </c>
      <c r="B19" s="13">
        <f>SUM(B23:B26)</f>
        <v>43.041000000000004</v>
      </c>
      <c r="C19" s="55">
        <f>B19/B17</f>
        <v>0.17307541513610677</v>
      </c>
      <c r="D19" s="3"/>
      <c r="E19" s="3"/>
      <c r="F19" s="3"/>
    </row>
    <row r="20" spans="1:6" x14ac:dyDescent="0.25">
      <c r="A20" s="34" t="s">
        <v>39</v>
      </c>
      <c r="B20" s="13">
        <f>B17-B19</f>
        <v>205.64249999999998</v>
      </c>
      <c r="C20" s="8"/>
      <c r="D20" s="3"/>
      <c r="E20" s="3"/>
      <c r="F20" s="3"/>
    </row>
    <row r="21" spans="1:6" x14ac:dyDescent="0.25">
      <c r="A21" s="8"/>
      <c r="B21" s="8"/>
      <c r="C21" s="8"/>
      <c r="D21" s="3"/>
      <c r="E21" s="3"/>
      <c r="F21" s="3"/>
    </row>
    <row r="22" spans="1:6" x14ac:dyDescent="0.25">
      <c r="A22" s="49" t="s">
        <v>38</v>
      </c>
      <c r="B22" s="49"/>
      <c r="C22" s="14"/>
      <c r="D22" s="8"/>
      <c r="E22" s="8"/>
      <c r="F22" s="3"/>
    </row>
    <row r="23" spans="1:6" x14ac:dyDescent="0.25">
      <c r="A23" s="34" t="s">
        <v>40</v>
      </c>
      <c r="B23" s="13">
        <f>SUMIF($A$31:$A$38,"pvc",$F$31:$F$38)</f>
        <v>26.580000000000002</v>
      </c>
      <c r="C23" s="8"/>
      <c r="D23" s="3"/>
      <c r="E23" s="3"/>
      <c r="F23" s="3"/>
    </row>
    <row r="24" spans="1:6" x14ac:dyDescent="0.25">
      <c r="A24" s="34" t="s">
        <v>41</v>
      </c>
      <c r="B24" s="13">
        <f>SUMIF($A$31:$A$38,"alu",$F$31:$F$38)</f>
        <v>10.8</v>
      </c>
      <c r="C24" s="8"/>
      <c r="D24" s="3"/>
      <c r="E24" s="3"/>
      <c r="F24" s="9"/>
    </row>
    <row r="25" spans="1:6" x14ac:dyDescent="0.25">
      <c r="A25" s="34" t="s">
        <v>42</v>
      </c>
      <c r="B25" s="13">
        <f>SUMIF($A$31:$A$38,"bois vitré",$F$31:$F$38)</f>
        <v>1.7010000000000001</v>
      </c>
      <c r="C25" s="8"/>
      <c r="D25" s="3"/>
      <c r="E25" s="3"/>
      <c r="F25" s="3"/>
    </row>
    <row r="26" spans="1:6" x14ac:dyDescent="0.25">
      <c r="A26" s="34" t="s">
        <v>43</v>
      </c>
      <c r="B26" s="13">
        <f>SUMIF($A$31:$A$38,"bois plein",$F$31:$F$38)</f>
        <v>3.96</v>
      </c>
      <c r="C26" s="8"/>
      <c r="D26" s="3"/>
      <c r="E26" s="3"/>
      <c r="F26" s="3"/>
    </row>
    <row r="27" spans="1:6" x14ac:dyDescent="0.25">
      <c r="A27" s="35" t="s">
        <v>60</v>
      </c>
      <c r="B27" s="13">
        <f>B17/B19</f>
        <v>5.7778281173764539</v>
      </c>
      <c r="C27" s="8"/>
      <c r="D27" s="3"/>
      <c r="E27" s="3"/>
      <c r="F27" s="3"/>
    </row>
    <row r="28" spans="1:6" x14ac:dyDescent="0.25">
      <c r="A28" s="8"/>
      <c r="B28" s="8"/>
      <c r="C28" s="8"/>
      <c r="D28" s="3"/>
      <c r="E28" s="3"/>
      <c r="F28" s="3"/>
    </row>
    <row r="29" spans="1:6" x14ac:dyDescent="0.25">
      <c r="A29" s="50" t="s">
        <v>44</v>
      </c>
      <c r="B29" s="51"/>
      <c r="C29" s="51"/>
      <c r="D29" s="51"/>
      <c r="E29" s="51"/>
      <c r="F29" s="52"/>
    </row>
    <row r="30" spans="1:6" x14ac:dyDescent="0.25">
      <c r="A30" s="36" t="s">
        <v>13</v>
      </c>
      <c r="B30" s="37" t="s">
        <v>5</v>
      </c>
      <c r="C30" s="37" t="s">
        <v>7</v>
      </c>
      <c r="D30" s="38" t="s">
        <v>6</v>
      </c>
      <c r="E30" s="38" t="s">
        <v>97</v>
      </c>
      <c r="F30" s="38" t="s">
        <v>12</v>
      </c>
    </row>
    <row r="31" spans="1:6" x14ac:dyDescent="0.25">
      <c r="A31" s="34" t="s">
        <v>8</v>
      </c>
      <c r="B31" s="13">
        <v>1</v>
      </c>
      <c r="C31" s="13">
        <v>110</v>
      </c>
      <c r="D31" s="7">
        <v>125</v>
      </c>
      <c r="E31" s="7">
        <f>C31*D31/10000</f>
        <v>1.375</v>
      </c>
      <c r="F31" s="7">
        <f>E31*B31</f>
        <v>1.375</v>
      </c>
    </row>
    <row r="32" spans="1:6" x14ac:dyDescent="0.25">
      <c r="A32" s="34" t="s">
        <v>8</v>
      </c>
      <c r="B32" s="13">
        <v>8</v>
      </c>
      <c r="C32" s="13">
        <v>110</v>
      </c>
      <c r="D32" s="7">
        <v>225</v>
      </c>
      <c r="E32" s="7">
        <f t="shared" ref="E32:E38" si="0">C32*D32/10000</f>
        <v>2.4750000000000001</v>
      </c>
      <c r="F32" s="7">
        <f t="shared" ref="F32:F38" si="1">E32*B32</f>
        <v>19.8</v>
      </c>
    </row>
    <row r="33" spans="1:6" x14ac:dyDescent="0.25">
      <c r="A33" s="34" t="s">
        <v>8</v>
      </c>
      <c r="B33" s="13">
        <v>6</v>
      </c>
      <c r="C33" s="13">
        <v>70</v>
      </c>
      <c r="D33" s="7">
        <v>115</v>
      </c>
      <c r="E33" s="7">
        <f t="shared" si="0"/>
        <v>0.80500000000000005</v>
      </c>
      <c r="F33" s="7">
        <f t="shared" si="1"/>
        <v>4.83</v>
      </c>
    </row>
    <row r="34" spans="1:6" x14ac:dyDescent="0.25">
      <c r="A34" s="34" t="s">
        <v>8</v>
      </c>
      <c r="B34" s="13">
        <v>1</v>
      </c>
      <c r="C34" s="13">
        <v>50</v>
      </c>
      <c r="D34" s="7">
        <v>115</v>
      </c>
      <c r="E34" s="7">
        <f t="shared" si="0"/>
        <v>0.57499999999999996</v>
      </c>
      <c r="F34" s="7">
        <f t="shared" si="1"/>
        <v>0.57499999999999996</v>
      </c>
    </row>
    <row r="35" spans="1:6" x14ac:dyDescent="0.25">
      <c r="A35" s="34" t="s">
        <v>9</v>
      </c>
      <c r="B35" s="13">
        <v>2</v>
      </c>
      <c r="C35" s="13">
        <v>240</v>
      </c>
      <c r="D35" s="7">
        <v>225</v>
      </c>
      <c r="E35" s="7">
        <f t="shared" si="0"/>
        <v>5.4</v>
      </c>
      <c r="F35" s="7">
        <f t="shared" si="1"/>
        <v>10.8</v>
      </c>
    </row>
    <row r="36" spans="1:6" x14ac:dyDescent="0.25">
      <c r="A36" s="34" t="s">
        <v>10</v>
      </c>
      <c r="B36" s="13">
        <v>1</v>
      </c>
      <c r="C36" s="13">
        <v>83</v>
      </c>
      <c r="D36" s="7">
        <v>225</v>
      </c>
      <c r="E36" s="7">
        <f t="shared" si="0"/>
        <v>1.8674999999999999</v>
      </c>
      <c r="F36" s="7">
        <f t="shared" si="1"/>
        <v>1.8674999999999999</v>
      </c>
    </row>
    <row r="37" spans="1:6" x14ac:dyDescent="0.25">
      <c r="A37" s="34" t="s">
        <v>10</v>
      </c>
      <c r="B37" s="13">
        <v>1</v>
      </c>
      <c r="C37" s="13">
        <v>93</v>
      </c>
      <c r="D37" s="7">
        <v>225</v>
      </c>
      <c r="E37" s="7">
        <f t="shared" si="0"/>
        <v>2.0924999999999998</v>
      </c>
      <c r="F37" s="7">
        <f t="shared" si="1"/>
        <v>2.0924999999999998</v>
      </c>
    </row>
    <row r="38" spans="1:6" x14ac:dyDescent="0.25">
      <c r="A38" s="34" t="s">
        <v>11</v>
      </c>
      <c r="B38" s="13">
        <v>1</v>
      </c>
      <c r="C38" s="13">
        <v>81</v>
      </c>
      <c r="D38" s="7">
        <v>210</v>
      </c>
      <c r="E38" s="7">
        <f t="shared" si="0"/>
        <v>1.7010000000000001</v>
      </c>
      <c r="F38" s="7">
        <f t="shared" si="1"/>
        <v>1.7010000000000001</v>
      </c>
    </row>
  </sheetData>
  <mergeCells count="3">
    <mergeCell ref="A22:B22"/>
    <mergeCell ref="A29:F29"/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showGridLines="0" tabSelected="1" workbookViewId="0">
      <selection activeCell="G33" sqref="G33"/>
    </sheetView>
  </sheetViews>
  <sheetFormatPr baseColWidth="10" defaultRowHeight="15" x14ac:dyDescent="0.25"/>
  <cols>
    <col min="1" max="1" width="28.140625" style="18" customWidth="1"/>
    <col min="2" max="2" width="11.42578125" style="11" customWidth="1"/>
    <col min="3" max="3" width="13.85546875" style="8" customWidth="1"/>
    <col min="4" max="4" width="12.5703125" style="3" customWidth="1"/>
    <col min="5" max="6" width="11.140625" style="3" customWidth="1"/>
    <col min="7" max="7" width="11.5703125" style="3" customWidth="1"/>
    <col min="8" max="9" width="9" style="3" customWidth="1"/>
    <col min="10" max="10" width="9" style="8" customWidth="1"/>
    <col min="11" max="11" width="9.140625" style="30" customWidth="1"/>
    <col min="12" max="12" width="9" style="4" customWidth="1"/>
    <col min="13" max="13" width="9" style="8" customWidth="1"/>
    <col min="14" max="14" width="6.7109375" style="3" customWidth="1"/>
    <col min="15" max="15" width="6.5703125" style="3" customWidth="1"/>
    <col min="16" max="19" width="11.42578125" style="3"/>
  </cols>
  <sheetData>
    <row r="1" spans="1:19" x14ac:dyDescent="0.25">
      <c r="A1" s="49" t="s">
        <v>82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20"/>
    </row>
    <row r="2" spans="1:19" x14ac:dyDescent="0.25">
      <c r="A2" s="39" t="s">
        <v>83</v>
      </c>
      <c r="B2" s="40" t="s">
        <v>17</v>
      </c>
      <c r="C2" s="40" t="s">
        <v>1</v>
      </c>
      <c r="D2" s="40" t="s">
        <v>18</v>
      </c>
      <c r="E2" s="54" t="s">
        <v>84</v>
      </c>
      <c r="F2" s="54"/>
      <c r="G2" s="54"/>
      <c r="H2" s="54"/>
      <c r="I2" s="54"/>
      <c r="J2" s="54"/>
      <c r="K2" s="54"/>
      <c r="L2" s="54"/>
      <c r="M2" s="54"/>
      <c r="N2" s="21"/>
      <c r="R2"/>
      <c r="S2"/>
    </row>
    <row r="3" spans="1:19" x14ac:dyDescent="0.25">
      <c r="A3" s="27" t="s">
        <v>45</v>
      </c>
      <c r="B3" s="13">
        <f>I3</f>
        <v>0.32786885245901642</v>
      </c>
      <c r="C3" s="13">
        <f>Architecture!B20</f>
        <v>205.64249999999998</v>
      </c>
      <c r="D3" s="13">
        <f t="shared" ref="D3:D9" si="0">B3*C3</f>
        <v>67.423770491803282</v>
      </c>
      <c r="E3" s="53" t="s">
        <v>88</v>
      </c>
      <c r="F3" s="53"/>
      <c r="G3" s="53"/>
      <c r="H3" s="25" t="s">
        <v>62</v>
      </c>
      <c r="I3" s="12">
        <f>1/(1/2.5+2.65)</f>
        <v>0.32786885245901642</v>
      </c>
      <c r="J3" s="25"/>
      <c r="K3" s="42"/>
      <c r="L3" s="25"/>
      <c r="M3" s="31"/>
      <c r="P3"/>
      <c r="Q3"/>
      <c r="R3"/>
      <c r="S3"/>
    </row>
    <row r="4" spans="1:19" x14ac:dyDescent="0.25">
      <c r="A4" s="27" t="s">
        <v>98</v>
      </c>
      <c r="B4" s="13">
        <v>0.14000000000000001</v>
      </c>
      <c r="C4" s="13">
        <v>80</v>
      </c>
      <c r="D4" s="13">
        <f t="shared" si="0"/>
        <v>11.200000000000001</v>
      </c>
      <c r="E4" s="53" t="s">
        <v>14</v>
      </c>
      <c r="F4" s="53"/>
      <c r="G4" s="53"/>
      <c r="H4" s="25" t="s">
        <v>63</v>
      </c>
      <c r="I4" s="12">
        <v>4.58</v>
      </c>
      <c r="J4" s="25" t="s">
        <v>64</v>
      </c>
      <c r="K4" s="42">
        <f>1/(1/2.5+I4)</f>
        <v>0.20080321285140559</v>
      </c>
      <c r="L4" s="25"/>
      <c r="M4" s="31"/>
      <c r="P4"/>
      <c r="Q4"/>
      <c r="R4"/>
      <c r="S4"/>
    </row>
    <row r="5" spans="1:19" x14ac:dyDescent="0.25">
      <c r="A5" s="27" t="s">
        <v>46</v>
      </c>
      <c r="B5" s="13">
        <f>M5</f>
        <v>0.35</v>
      </c>
      <c r="C5" s="13">
        <v>80</v>
      </c>
      <c r="D5" s="13">
        <f t="shared" si="0"/>
        <v>28</v>
      </c>
      <c r="E5" s="53" t="s">
        <v>89</v>
      </c>
      <c r="F5" s="53"/>
      <c r="G5" s="53"/>
      <c r="H5" s="25" t="s">
        <v>65</v>
      </c>
      <c r="I5" s="12">
        <f>1/(1/2+1.05)</f>
        <v>0.64516129032258063</v>
      </c>
      <c r="J5" s="25" t="s">
        <v>68</v>
      </c>
      <c r="K5" s="42">
        <f>2*Architecture!B4/(Architecture!B9-4*0.7)</f>
        <v>4.4053388090349079</v>
      </c>
      <c r="L5" s="25" t="s">
        <v>69</v>
      </c>
      <c r="M5" s="31">
        <v>0.35</v>
      </c>
      <c r="Q5"/>
      <c r="R5"/>
      <c r="S5"/>
    </row>
    <row r="6" spans="1:19" x14ac:dyDescent="0.25">
      <c r="A6" s="27" t="s">
        <v>3</v>
      </c>
      <c r="B6" s="13">
        <f>K6</f>
        <v>2.4</v>
      </c>
      <c r="C6" s="13">
        <f>Architecture!B23</f>
        <v>26.580000000000002</v>
      </c>
      <c r="D6" s="13">
        <f t="shared" si="0"/>
        <v>63.792000000000002</v>
      </c>
      <c r="E6" s="53" t="s">
        <v>15</v>
      </c>
      <c r="F6" s="53"/>
      <c r="G6" s="53"/>
      <c r="H6" s="25" t="s">
        <v>66</v>
      </c>
      <c r="I6" s="12">
        <v>2.9</v>
      </c>
      <c r="J6" s="25" t="s">
        <v>70</v>
      </c>
      <c r="K6" s="42">
        <v>2.4</v>
      </c>
      <c r="L6" s="25"/>
      <c r="M6" s="31"/>
      <c r="S6"/>
    </row>
    <row r="7" spans="1:19" x14ac:dyDescent="0.25">
      <c r="A7" s="27" t="s">
        <v>4</v>
      </c>
      <c r="B7" s="13">
        <f>K7</f>
        <v>2.8</v>
      </c>
      <c r="C7" s="13">
        <f>Architecture!B24</f>
        <v>10.8</v>
      </c>
      <c r="D7" s="13">
        <f t="shared" si="0"/>
        <v>30.24</v>
      </c>
      <c r="E7" s="53" t="s">
        <v>15</v>
      </c>
      <c r="F7" s="53"/>
      <c r="G7" s="53"/>
      <c r="H7" s="25" t="s">
        <v>66</v>
      </c>
      <c r="I7" s="12">
        <v>3.5</v>
      </c>
      <c r="J7" s="25" t="s">
        <v>70</v>
      </c>
      <c r="K7" s="42">
        <v>2.8</v>
      </c>
      <c r="L7" s="25"/>
      <c r="M7" s="31"/>
      <c r="S7"/>
    </row>
    <row r="8" spans="1:19" x14ac:dyDescent="0.25">
      <c r="A8" s="27" t="s">
        <v>47</v>
      </c>
      <c r="B8" s="13">
        <f>I8</f>
        <v>3.1</v>
      </c>
      <c r="C8" s="13">
        <f>Architecture!B25</f>
        <v>1.7010000000000001</v>
      </c>
      <c r="D8" s="13">
        <f t="shared" si="0"/>
        <v>5.2731000000000003</v>
      </c>
      <c r="E8" s="53" t="s">
        <v>15</v>
      </c>
      <c r="F8" s="53"/>
      <c r="G8" s="53"/>
      <c r="H8" s="25" t="s">
        <v>66</v>
      </c>
      <c r="I8" s="12">
        <v>3.1</v>
      </c>
      <c r="J8" s="25"/>
      <c r="K8" s="42"/>
      <c r="L8" s="25"/>
      <c r="M8" s="31"/>
      <c r="S8"/>
    </row>
    <row r="9" spans="1:19" x14ac:dyDescent="0.25">
      <c r="A9" s="27" t="s">
        <v>48</v>
      </c>
      <c r="B9" s="13">
        <v>2</v>
      </c>
      <c r="C9" s="13">
        <v>2</v>
      </c>
      <c r="D9" s="13">
        <f t="shared" si="0"/>
        <v>4</v>
      </c>
      <c r="E9" s="53" t="s">
        <v>16</v>
      </c>
      <c r="F9" s="53"/>
      <c r="G9" s="53"/>
      <c r="H9" s="25" t="s">
        <v>67</v>
      </c>
      <c r="I9" s="12">
        <v>3.5</v>
      </c>
      <c r="J9" s="25"/>
      <c r="K9" s="42"/>
      <c r="L9" s="25"/>
      <c r="M9" s="31"/>
      <c r="S9"/>
    </row>
    <row r="10" spans="1:19" x14ac:dyDescent="0.25">
      <c r="A10" s="3"/>
      <c r="B10" s="3"/>
      <c r="C10" s="3"/>
      <c r="D10" s="8"/>
      <c r="J10" s="3"/>
      <c r="L10" s="3"/>
      <c r="M10" s="3"/>
      <c r="S10"/>
    </row>
    <row r="11" spans="1:19" x14ac:dyDescent="0.25">
      <c r="A11" s="49" t="s">
        <v>19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S11"/>
    </row>
    <row r="12" spans="1:19" s="1" customFormat="1" x14ac:dyDescent="0.25">
      <c r="A12" s="39" t="s">
        <v>83</v>
      </c>
      <c r="B12" s="40" t="s">
        <v>72</v>
      </c>
      <c r="C12" s="40" t="s">
        <v>0</v>
      </c>
      <c r="D12" s="40" t="s">
        <v>18</v>
      </c>
      <c r="E12" s="54" t="s">
        <v>84</v>
      </c>
      <c r="F12" s="54"/>
      <c r="G12" s="54"/>
      <c r="H12" s="54"/>
      <c r="I12" s="54"/>
      <c r="J12" s="54"/>
      <c r="K12" s="54"/>
      <c r="L12" s="54"/>
      <c r="M12" s="54"/>
      <c r="N12" s="24"/>
      <c r="O12" s="6"/>
      <c r="P12" s="6"/>
      <c r="Q12" s="6"/>
      <c r="R12" s="6"/>
      <c r="S12" s="6"/>
    </row>
    <row r="13" spans="1:19" x14ac:dyDescent="0.25">
      <c r="A13" s="34" t="s">
        <v>49</v>
      </c>
      <c r="B13" s="13">
        <v>0.08</v>
      </c>
      <c r="C13" s="13">
        <f>Architecture!B9</f>
        <v>41.76</v>
      </c>
      <c r="D13" s="13">
        <f>B13*C13</f>
        <v>3.3407999999999998</v>
      </c>
      <c r="E13" s="53" t="s">
        <v>20</v>
      </c>
      <c r="F13" s="53"/>
      <c r="G13" s="53"/>
      <c r="H13" s="53"/>
      <c r="I13" s="53"/>
      <c r="J13" s="53"/>
      <c r="K13" s="53"/>
      <c r="L13" s="53"/>
      <c r="M13" s="53"/>
      <c r="N13" s="5"/>
    </row>
    <row r="14" spans="1:19" x14ac:dyDescent="0.25">
      <c r="A14" s="34" t="s">
        <v>50</v>
      </c>
      <c r="B14" s="12">
        <v>0.74</v>
      </c>
      <c r="C14" s="13">
        <f>Architecture!B10</f>
        <v>42.51</v>
      </c>
      <c r="D14" s="13">
        <f>B14*C14</f>
        <v>31.4574</v>
      </c>
      <c r="E14" s="53" t="s">
        <v>21</v>
      </c>
      <c r="F14" s="53"/>
      <c r="G14" s="53"/>
      <c r="H14" s="53"/>
      <c r="I14" s="53"/>
      <c r="J14" s="53"/>
      <c r="K14" s="53"/>
      <c r="L14" s="53"/>
      <c r="M14" s="53"/>
      <c r="N14" s="5" t="s">
        <v>93</v>
      </c>
      <c r="P14" s="3">
        <f>0.05*160</f>
        <v>8</v>
      </c>
    </row>
    <row r="15" spans="1:19" x14ac:dyDescent="0.25">
      <c r="A15" s="34" t="s">
        <v>51</v>
      </c>
      <c r="B15" s="13">
        <v>0</v>
      </c>
      <c r="C15" s="13">
        <v>0</v>
      </c>
      <c r="D15" s="13">
        <f>B15*C15</f>
        <v>0</v>
      </c>
      <c r="E15" s="53" t="s">
        <v>22</v>
      </c>
      <c r="F15" s="53"/>
      <c r="G15" s="53"/>
      <c r="H15" s="53"/>
      <c r="I15" s="53"/>
      <c r="J15" s="53"/>
      <c r="K15" s="53"/>
      <c r="L15" s="53"/>
      <c r="M15" s="53"/>
      <c r="N15" s="5"/>
    </row>
    <row r="16" spans="1:19" x14ac:dyDescent="0.25">
      <c r="A16" s="34" t="s">
        <v>52</v>
      </c>
      <c r="B16" s="13">
        <v>0.82</v>
      </c>
      <c r="C16" s="13">
        <v>6.55</v>
      </c>
      <c r="D16" s="13">
        <f>B16*C16</f>
        <v>5.3709999999999996</v>
      </c>
      <c r="E16" s="53" t="s">
        <v>24</v>
      </c>
      <c r="F16" s="53"/>
      <c r="G16" s="53"/>
      <c r="H16" s="53"/>
      <c r="I16" s="53"/>
      <c r="J16" s="53"/>
      <c r="K16" s="53"/>
      <c r="L16" s="53"/>
      <c r="M16" s="53"/>
      <c r="N16" s="5"/>
    </row>
    <row r="17" spans="1:19" x14ac:dyDescent="0.25">
      <c r="A17" s="34" t="s">
        <v>53</v>
      </c>
      <c r="B17" s="13">
        <v>0</v>
      </c>
      <c r="C17" s="13">
        <v>0</v>
      </c>
      <c r="D17" s="13">
        <f>B17*C17</f>
        <v>0</v>
      </c>
      <c r="E17" s="53" t="s">
        <v>23</v>
      </c>
      <c r="F17" s="53"/>
      <c r="G17" s="53"/>
      <c r="H17" s="53"/>
      <c r="I17" s="53"/>
      <c r="J17" s="53"/>
      <c r="K17" s="53"/>
      <c r="L17" s="53"/>
      <c r="M17" s="53"/>
      <c r="N17" s="5"/>
    </row>
    <row r="18" spans="1:19" x14ac:dyDescent="0.25">
      <c r="A18" s="11"/>
      <c r="C18" s="11"/>
      <c r="D18" s="11"/>
      <c r="E18" s="5"/>
      <c r="F18" s="5"/>
      <c r="G18" s="5"/>
      <c r="H18" s="5"/>
      <c r="I18" s="5"/>
      <c r="J18" s="5"/>
      <c r="K18" s="43"/>
      <c r="L18" s="5"/>
      <c r="M18" s="5"/>
      <c r="N18" s="5"/>
    </row>
    <row r="19" spans="1:19" x14ac:dyDescent="0.25">
      <c r="A19" s="49" t="s">
        <v>25</v>
      </c>
      <c r="B19" s="49"/>
      <c r="D19" s="8"/>
      <c r="G19" s="5"/>
      <c r="H19" s="5"/>
      <c r="I19" s="5"/>
      <c r="J19" s="23"/>
      <c r="K19" s="43"/>
      <c r="L19" s="22"/>
      <c r="M19" s="23"/>
    </row>
    <row r="20" spans="1:19" x14ac:dyDescent="0.25">
      <c r="A20" s="34" t="s">
        <v>55</v>
      </c>
      <c r="B20" s="13">
        <v>70</v>
      </c>
      <c r="G20" s="5"/>
      <c r="H20" s="5"/>
      <c r="I20" s="5"/>
      <c r="J20" s="23"/>
      <c r="K20" s="43"/>
      <c r="L20" s="22"/>
      <c r="M20" s="23"/>
    </row>
    <row r="21" spans="1:19" x14ac:dyDescent="0.25">
      <c r="A21" s="34" t="s">
        <v>56</v>
      </c>
      <c r="B21" s="12">
        <v>70</v>
      </c>
      <c r="G21" s="5"/>
      <c r="H21" s="5"/>
      <c r="I21" s="5"/>
      <c r="J21" s="23"/>
      <c r="K21" s="43"/>
      <c r="L21" s="22"/>
      <c r="M21" s="23"/>
    </row>
    <row r="22" spans="1:19" x14ac:dyDescent="0.25">
      <c r="A22" s="34" t="s">
        <v>54</v>
      </c>
      <c r="B22" s="13">
        <f>B20+B21</f>
        <v>140</v>
      </c>
      <c r="C22" s="8" t="s">
        <v>71</v>
      </c>
      <c r="D22" s="48">
        <f>B22/0.34</f>
        <v>411.76470588235293</v>
      </c>
      <c r="E22" s="3" t="s">
        <v>73</v>
      </c>
      <c r="G22" s="5"/>
      <c r="H22" s="5"/>
      <c r="I22" s="5"/>
      <c r="J22" s="23"/>
      <c r="K22" s="43"/>
      <c r="L22" s="22"/>
      <c r="M22" s="23"/>
    </row>
    <row r="23" spans="1:19" x14ac:dyDescent="0.25">
      <c r="A23" s="8"/>
      <c r="B23" s="8"/>
    </row>
    <row r="24" spans="1:19" x14ac:dyDescent="0.25">
      <c r="A24" s="50" t="s">
        <v>81</v>
      </c>
      <c r="B24" s="52"/>
    </row>
    <row r="25" spans="1:19" x14ac:dyDescent="0.25">
      <c r="A25" s="33" t="s">
        <v>91</v>
      </c>
      <c r="B25" s="47">
        <v>21</v>
      </c>
      <c r="C25" s="3" t="s">
        <v>90</v>
      </c>
      <c r="D25" s="16"/>
      <c r="E25" s="16"/>
      <c r="F25" s="16"/>
      <c r="G25" s="4"/>
      <c r="H25" s="8"/>
      <c r="J25" s="3"/>
      <c r="L25" s="3"/>
      <c r="M25" s="3"/>
      <c r="O25"/>
      <c r="P25"/>
      <c r="Q25"/>
      <c r="R25"/>
      <c r="S25"/>
    </row>
    <row r="26" spans="1:19" x14ac:dyDescent="0.25">
      <c r="A26" s="34" t="s">
        <v>80</v>
      </c>
      <c r="B26" s="47">
        <v>-5</v>
      </c>
      <c r="C26" s="16"/>
      <c r="D26" s="16"/>
      <c r="E26" s="16"/>
      <c r="F26" s="16"/>
      <c r="G26" s="4"/>
      <c r="H26" s="8"/>
      <c r="J26" s="3"/>
      <c r="L26" s="3"/>
      <c r="M26" s="3"/>
      <c r="O26"/>
      <c r="P26"/>
      <c r="Q26"/>
      <c r="R26"/>
      <c r="S26"/>
    </row>
    <row r="27" spans="1:19" x14ac:dyDescent="0.25">
      <c r="A27" s="34" t="s">
        <v>77</v>
      </c>
      <c r="B27" s="47">
        <f>B25-B26</f>
        <v>26</v>
      </c>
      <c r="C27" s="16"/>
      <c r="D27" s="16"/>
      <c r="E27" s="16"/>
      <c r="F27" s="16"/>
      <c r="G27" s="4"/>
      <c r="H27" s="8"/>
      <c r="M27" s="3"/>
      <c r="O27"/>
      <c r="P27"/>
      <c r="Q27"/>
      <c r="R27"/>
      <c r="S27"/>
    </row>
    <row r="28" spans="1:19" x14ac:dyDescent="0.25">
      <c r="A28" s="34" t="s">
        <v>95</v>
      </c>
      <c r="B28" s="47">
        <v>1500</v>
      </c>
      <c r="C28" s="3"/>
      <c r="D28" s="8"/>
      <c r="E28" s="16"/>
      <c r="F28" s="16"/>
      <c r="G28" s="4"/>
      <c r="H28" s="8"/>
      <c r="M28" s="3"/>
      <c r="O28"/>
      <c r="P28"/>
      <c r="Q28"/>
      <c r="R28"/>
      <c r="S28"/>
    </row>
    <row r="29" spans="1:19" x14ac:dyDescent="0.25">
      <c r="A29" s="34" t="s">
        <v>96</v>
      </c>
      <c r="B29" s="47">
        <v>2250</v>
      </c>
      <c r="C29" s="3"/>
      <c r="D29" s="8"/>
      <c r="E29" s="16"/>
      <c r="F29" s="16"/>
      <c r="G29" s="4"/>
      <c r="H29" s="8"/>
      <c r="M29" s="3"/>
      <c r="O29"/>
      <c r="P29"/>
      <c r="Q29"/>
      <c r="R29"/>
      <c r="S29"/>
    </row>
    <row r="30" spans="1:19" x14ac:dyDescent="0.25">
      <c r="A30" s="19" t="s">
        <v>78</v>
      </c>
      <c r="B30" s="46" t="s">
        <v>71</v>
      </c>
      <c r="C30" s="26" t="s">
        <v>74</v>
      </c>
      <c r="D30" s="26" t="s">
        <v>75</v>
      </c>
      <c r="E30" s="29" t="s">
        <v>2</v>
      </c>
      <c r="F30" s="8"/>
      <c r="G30" s="8"/>
      <c r="H30" s="8"/>
      <c r="I30" s="8"/>
      <c r="J30" s="3"/>
      <c r="K30" s="8"/>
      <c r="L30" s="30"/>
      <c r="M30" s="4"/>
      <c r="P30"/>
      <c r="Q30"/>
      <c r="R30"/>
      <c r="S30"/>
    </row>
    <row r="31" spans="1:19" hidden="1" x14ac:dyDescent="0.25">
      <c r="A31" s="27" t="s">
        <v>85</v>
      </c>
      <c r="B31" s="13">
        <f>D3</f>
        <v>67.423770491803282</v>
      </c>
      <c r="C31" s="13">
        <f t="shared" ref="C31:C37" si="1">B31*DT/1000</f>
        <v>1.7530180327868852</v>
      </c>
      <c r="D31" s="10">
        <f>B31/$B$37</f>
        <v>0.17283800047203768</v>
      </c>
      <c r="E31" s="15">
        <f t="shared" ref="E31:E37" si="2">B31*24*DJU/1000</f>
        <v>2427.2557377049184</v>
      </c>
      <c r="F31" s="8"/>
      <c r="G31" s="8"/>
      <c r="H31" s="8"/>
      <c r="I31" s="8"/>
      <c r="J31" s="3"/>
      <c r="K31" s="8"/>
      <c r="L31" s="30"/>
      <c r="M31" s="4"/>
      <c r="P31"/>
      <c r="Q31"/>
      <c r="R31"/>
      <c r="S31"/>
    </row>
    <row r="32" spans="1:19" x14ac:dyDescent="0.25">
      <c r="A32" s="27" t="s">
        <v>86</v>
      </c>
      <c r="B32" s="13">
        <f>B31+SUM(D13:D17)</f>
        <v>107.59297049180329</v>
      </c>
      <c r="C32" s="13">
        <f t="shared" si="1"/>
        <v>2.7974172327868856</v>
      </c>
      <c r="D32" s="10">
        <f>B32/$B$37</f>
        <v>0.27581005554874699</v>
      </c>
      <c r="E32" s="15">
        <f t="shared" si="2"/>
        <v>3873.3469377049182</v>
      </c>
      <c r="F32" s="8"/>
      <c r="G32" s="8"/>
      <c r="H32" s="8"/>
      <c r="I32" s="8"/>
      <c r="J32" s="3"/>
      <c r="K32" s="8"/>
      <c r="L32" s="30"/>
      <c r="M32" s="4"/>
      <c r="P32"/>
      <c r="Q32"/>
      <c r="R32"/>
      <c r="S32"/>
    </row>
    <row r="33" spans="1:19" x14ac:dyDescent="0.25">
      <c r="A33" s="27" t="s">
        <v>98</v>
      </c>
      <c r="B33" s="13">
        <f>D4</f>
        <v>11.200000000000001</v>
      </c>
      <c r="C33" s="13">
        <f t="shared" si="1"/>
        <v>0.29120000000000007</v>
      </c>
      <c r="D33" s="10">
        <f>B33/$B$37</f>
        <v>2.8710729037649353E-2</v>
      </c>
      <c r="E33" s="15">
        <f t="shared" si="2"/>
        <v>403.2</v>
      </c>
      <c r="F33" s="8"/>
      <c r="G33" s="8"/>
      <c r="H33" s="8"/>
      <c r="I33" s="8"/>
      <c r="J33" s="3"/>
      <c r="K33" s="8"/>
      <c r="L33" s="30"/>
      <c r="M33" s="4"/>
      <c r="P33"/>
      <c r="Q33"/>
      <c r="R33"/>
      <c r="S33"/>
    </row>
    <row r="34" spans="1:19" x14ac:dyDescent="0.25">
      <c r="A34" s="27" t="s">
        <v>46</v>
      </c>
      <c r="B34" s="13">
        <f>D5</f>
        <v>28</v>
      </c>
      <c r="C34" s="13">
        <f t="shared" si="1"/>
        <v>0.72799999999999998</v>
      </c>
      <c r="D34" s="10">
        <f>B34/$B$37</f>
        <v>7.177682259412338E-2</v>
      </c>
      <c r="E34" s="15">
        <f t="shared" si="2"/>
        <v>1008</v>
      </c>
      <c r="F34" s="8"/>
      <c r="G34" s="8"/>
      <c r="H34" s="8"/>
      <c r="I34" s="8"/>
      <c r="J34" s="3"/>
      <c r="K34" s="8"/>
      <c r="L34" s="30"/>
      <c r="M34" s="4"/>
      <c r="P34"/>
      <c r="Q34"/>
      <c r="R34"/>
      <c r="S34"/>
    </row>
    <row r="35" spans="1:19" x14ac:dyDescent="0.25">
      <c r="A35" s="27" t="s">
        <v>76</v>
      </c>
      <c r="B35" s="12">
        <f>SUM(D6:D9)</f>
        <v>103.3051</v>
      </c>
      <c r="C35" s="13">
        <f t="shared" si="1"/>
        <v>2.6859326000000001</v>
      </c>
      <c r="D35" s="41">
        <f>B35/$B$37</f>
        <v>0.26481827984886336</v>
      </c>
      <c r="E35" s="28">
        <f t="shared" si="2"/>
        <v>3718.9836</v>
      </c>
      <c r="F35" s="8"/>
      <c r="G35" s="8"/>
      <c r="H35" s="8"/>
      <c r="I35" s="8"/>
      <c r="J35" s="3"/>
      <c r="K35" s="8"/>
      <c r="L35" s="30"/>
      <c r="M35" s="4"/>
      <c r="P35"/>
      <c r="Q35"/>
      <c r="R35"/>
      <c r="S35"/>
    </row>
    <row r="36" spans="1:19" x14ac:dyDescent="0.25">
      <c r="A36" s="27" t="s">
        <v>25</v>
      </c>
      <c r="B36" s="12">
        <f>B22</f>
        <v>140</v>
      </c>
      <c r="C36" s="13">
        <f t="shared" si="1"/>
        <v>3.64</v>
      </c>
      <c r="D36" s="41">
        <f>B36/$B$37</f>
        <v>0.3588841129706169</v>
      </c>
      <c r="E36" s="28">
        <f t="shared" si="2"/>
        <v>5040</v>
      </c>
      <c r="F36" s="8"/>
      <c r="G36" s="8"/>
      <c r="H36" s="8"/>
      <c r="I36" s="8"/>
      <c r="J36" s="3"/>
      <c r="K36" s="8"/>
      <c r="L36" s="30"/>
      <c r="M36" s="3"/>
      <c r="P36"/>
      <c r="Q36"/>
      <c r="R36"/>
      <c r="S36"/>
    </row>
    <row r="37" spans="1:19" x14ac:dyDescent="0.25">
      <c r="A37" s="32" t="s">
        <v>87</v>
      </c>
      <c r="B37" s="44">
        <f>B32+B33+B34+B35+B36</f>
        <v>390.0980704918033</v>
      </c>
      <c r="C37" s="44">
        <f t="shared" si="1"/>
        <v>10.142549832786885</v>
      </c>
      <c r="D37" s="44"/>
      <c r="E37" s="45">
        <f t="shared" si="2"/>
        <v>14043.530537704919</v>
      </c>
      <c r="F37" s="3" t="s">
        <v>94</v>
      </c>
      <c r="M37" s="3"/>
      <c r="O37"/>
      <c r="P37"/>
      <c r="Q37"/>
      <c r="R37"/>
      <c r="S37"/>
    </row>
  </sheetData>
  <mergeCells count="18">
    <mergeCell ref="E2:M2"/>
    <mergeCell ref="A1:M1"/>
    <mergeCell ref="E12:M12"/>
    <mergeCell ref="E13:M13"/>
    <mergeCell ref="E9:G9"/>
    <mergeCell ref="A11:M11"/>
    <mergeCell ref="A24:B24"/>
    <mergeCell ref="A19:B19"/>
    <mergeCell ref="E3:G3"/>
    <mergeCell ref="E4:G4"/>
    <mergeCell ref="E5:G5"/>
    <mergeCell ref="E6:G6"/>
    <mergeCell ref="E7:G7"/>
    <mergeCell ref="E8:G8"/>
    <mergeCell ref="E14:M14"/>
    <mergeCell ref="E15:M15"/>
    <mergeCell ref="E16:M16"/>
    <mergeCell ref="E17:M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Architecture</vt:lpstr>
      <vt:lpstr>Déperditions</vt:lpstr>
      <vt:lpstr>DJU</vt:lpstr>
      <vt:lpstr>DT</vt:lpstr>
      <vt:lpstr>GV</vt:lpstr>
      <vt:lpstr>Surface_totale_ext</vt:lpstr>
      <vt:lpstr>Volume_hab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Perso</dc:creator>
  <cp:lastModifiedBy>Yves Perso</cp:lastModifiedBy>
  <dcterms:created xsi:type="dcterms:W3CDTF">2021-10-22T13:20:05Z</dcterms:created>
  <dcterms:modified xsi:type="dcterms:W3CDTF">2022-04-15T16:59:56Z</dcterms:modified>
</cp:coreProperties>
</file>