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348" yWindow="708" windowWidth="13068" windowHeight="7356" activeTab="7"/>
  </bookViews>
  <sheets>
    <sheet name="Diagramme solaire" sheetId="9" r:id="rId1"/>
    <sheet name="Calculs" sheetId="1" r:id="rId2"/>
    <sheet name="Villes-Géo" sheetId="10" r:id="rId3"/>
    <sheet name="inclinaison terre" sheetId="11" r:id="rId4"/>
    <sheet name="decallage heure" sheetId="14" r:id="rId5"/>
    <sheet name="heures légales" sheetId="15" r:id="rId6"/>
    <sheet name="Paramêtres" sheetId="12" r:id="rId7"/>
    <sheet name="Versions" sheetId="13" r:id="rId8"/>
  </sheets>
  <definedNames>
    <definedName name="Altitude">Calculs!#REF!</definedName>
    <definedName name="decl_magn" comment="déclinaison magnétique: différence d'angle entre le pôle magnétique et le pole géographique.">Calculs!$B$8</definedName>
    <definedName name="eq_tps_L" comment="equation du temps: correction en fonction de la longitude">'decallage heure'!$B$11</definedName>
    <definedName name="H_ete_debut" comment="Jour de l'année, à partir duquel on est à l'heure d'été">'decallage heure'!$D$17</definedName>
    <definedName name="H_ete_decallage">'decallage heure'!$B$13</definedName>
    <definedName name="H_ete_Fin" comment="Jour de l'année à partir duquel on est plus en heure d'été">'decallage heure'!$D$18</definedName>
    <definedName name="H_hivers_decallage">'decallage heure'!$B$12</definedName>
    <definedName name="H_legale_Ok">'decallage heure'!$B$26</definedName>
    <definedName name="incl_axe">'inclinaison terre'!$B$3</definedName>
    <definedName name="jours_annee_siderale">Paramêtres!$B$3</definedName>
    <definedName name="k_atm" comment="rapport entre l'épaisseur de l'atmosphére dense et le rayon de la terre">Paramêtres!$E$6</definedName>
    <definedName name="Lat_radian">Calculs!$C$5</definedName>
    <definedName name="Latitude">Calculs!$B$5</definedName>
    <definedName name="Longitude">Calculs!$B$6</definedName>
    <definedName name="Va">Paramêtres!$B$4</definedName>
    <definedName name="Va_rad">Paramêtres!$E$4</definedName>
    <definedName name="Ville_ref">Calculs!$A$3</definedName>
  </definedNames>
  <calcPr calcId="145621"/>
</workbook>
</file>

<file path=xl/calcChain.xml><?xml version="1.0" encoding="utf-8"?>
<calcChain xmlns="http://schemas.openxmlformats.org/spreadsheetml/2006/main">
  <c r="E3" i="12" l="1"/>
  <c r="G3" i="12"/>
  <c r="B4" i="12"/>
  <c r="B8" i="1"/>
  <c r="B2" i="14"/>
  <c r="B3" i="14" s="1"/>
  <c r="E6" i="12"/>
  <c r="B8" i="14" l="1"/>
  <c r="B13" i="14" s="1"/>
  <c r="B7" i="14"/>
  <c r="B12" i="14" s="1"/>
  <c r="I13" i="15"/>
  <c r="H13" i="15"/>
  <c r="G13" i="15"/>
  <c r="I12" i="15"/>
  <c r="H12" i="15"/>
  <c r="G12" i="15"/>
  <c r="C7" i="1" l="1"/>
  <c r="Q7" i="1" s="1"/>
  <c r="B6" i="1" l="1"/>
  <c r="B5" i="1"/>
  <c r="B15" i="14" l="1"/>
  <c r="E15" i="14" s="1"/>
  <c r="B18" i="14" l="1"/>
  <c r="B17" i="14"/>
  <c r="B26" i="14" s="1"/>
  <c r="B9" i="1"/>
  <c r="D17" i="14" l="1"/>
  <c r="D18" i="14"/>
  <c r="B4" i="14"/>
  <c r="B11" i="14" s="1"/>
  <c r="I5" i="1" l="1"/>
  <c r="E4" i="12"/>
  <c r="F7" i="1" s="1"/>
  <c r="D7" i="1" s="1"/>
  <c r="E11" i="14" l="1"/>
  <c r="E12" i="14"/>
  <c r="E13" i="14"/>
  <c r="E7" i="1"/>
  <c r="A23" i="1" s="1"/>
  <c r="R7" i="1"/>
  <c r="C8" i="1"/>
  <c r="S8" i="1" l="1"/>
  <c r="S7" i="1"/>
  <c r="E8" i="1"/>
  <c r="A24" i="1" s="1"/>
  <c r="Q8" i="1"/>
  <c r="R8" i="1" s="1"/>
  <c r="F8" i="1"/>
  <c r="D8" i="1" s="1"/>
  <c r="C9" i="1"/>
  <c r="S9" i="1" s="1"/>
  <c r="E9" i="1" l="1"/>
  <c r="A25" i="1" s="1"/>
  <c r="Q9" i="1"/>
  <c r="R9" i="1" s="1"/>
  <c r="F9" i="1"/>
  <c r="D9" i="1" s="1"/>
  <c r="C10" i="1"/>
  <c r="S10" i="1" s="1"/>
  <c r="C5" i="1"/>
  <c r="B22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J23" i="1" l="1"/>
  <c r="G7" i="1" s="1"/>
  <c r="E10" i="1"/>
  <c r="A26" i="1" s="1"/>
  <c r="Q10" i="1"/>
  <c r="R10" i="1" s="1"/>
  <c r="P7" i="1"/>
  <c r="P9" i="1"/>
  <c r="K9" i="1" s="1"/>
  <c r="F10" i="1"/>
  <c r="D10" i="1" s="1"/>
  <c r="P10" i="1" s="1"/>
  <c r="C11" i="1"/>
  <c r="S11" i="1" s="1"/>
  <c r="P8" i="1"/>
  <c r="B23" i="1"/>
  <c r="B35" i="1" s="1"/>
  <c r="O24" i="1"/>
  <c r="O36" i="1" s="1"/>
  <c r="F23" i="1"/>
  <c r="F35" i="1" s="1"/>
  <c r="O23" i="1"/>
  <c r="O35" i="1" s="1"/>
  <c r="K24" i="1"/>
  <c r="K36" i="1" s="1"/>
  <c r="R24" i="1"/>
  <c r="R36" i="1" s="1"/>
  <c r="C24" i="1"/>
  <c r="C36" i="1" s="1"/>
  <c r="L25" i="1"/>
  <c r="L37" i="1" s="1"/>
  <c r="L23" i="1"/>
  <c r="L35" i="1" s="1"/>
  <c r="D23" i="1"/>
  <c r="D35" i="1" s="1"/>
  <c r="E23" i="1"/>
  <c r="E35" i="1" s="1"/>
  <c r="H24" i="1"/>
  <c r="H36" i="1" s="1"/>
  <c r="H23" i="1"/>
  <c r="H35" i="1" s="1"/>
  <c r="N23" i="1"/>
  <c r="N35" i="1" s="1"/>
  <c r="D24" i="1"/>
  <c r="D36" i="1" s="1"/>
  <c r="G24" i="1"/>
  <c r="G36" i="1" s="1"/>
  <c r="L24" i="1"/>
  <c r="L36" i="1" s="1"/>
  <c r="N24" i="1"/>
  <c r="N36" i="1" s="1"/>
  <c r="P24" i="1"/>
  <c r="P36" i="1" s="1"/>
  <c r="F24" i="1"/>
  <c r="F36" i="1" s="1"/>
  <c r="I23" i="1"/>
  <c r="I35" i="1" s="1"/>
  <c r="R23" i="1"/>
  <c r="R35" i="1" s="1"/>
  <c r="I24" i="1"/>
  <c r="I36" i="1" s="1"/>
  <c r="Q24" i="1"/>
  <c r="Q36" i="1" s="1"/>
  <c r="P25" i="1"/>
  <c r="P37" i="1" s="1"/>
  <c r="C23" i="1"/>
  <c r="C35" i="1" s="1"/>
  <c r="K23" i="1"/>
  <c r="K35" i="1" s="1"/>
  <c r="B24" i="1"/>
  <c r="B36" i="1" s="1"/>
  <c r="J24" i="1"/>
  <c r="G8" i="1" s="1"/>
  <c r="P23" i="1"/>
  <c r="P35" i="1" s="1"/>
  <c r="G23" i="1"/>
  <c r="G35" i="1" s="1"/>
  <c r="Q23" i="1"/>
  <c r="Q35" i="1" s="1"/>
  <c r="G25" i="1"/>
  <c r="G37" i="1" s="1"/>
  <c r="M24" i="1"/>
  <c r="M36" i="1" s="1"/>
  <c r="E24" i="1"/>
  <c r="E36" i="1" s="1"/>
  <c r="M23" i="1"/>
  <c r="M35" i="1" s="1"/>
  <c r="H8" i="1" l="1"/>
  <c r="K8" i="1"/>
  <c r="H10" i="1"/>
  <c r="K10" i="1"/>
  <c r="H9" i="1"/>
  <c r="H7" i="1"/>
  <c r="K7" i="1"/>
  <c r="J35" i="1"/>
  <c r="E11" i="1"/>
  <c r="A27" i="1" s="1"/>
  <c r="Q11" i="1"/>
  <c r="R11" i="1" s="1"/>
  <c r="B26" i="1"/>
  <c r="B38" i="1" s="1"/>
  <c r="J36" i="1"/>
  <c r="D25" i="1"/>
  <c r="D37" i="1" s="1"/>
  <c r="R25" i="1"/>
  <c r="R37" i="1" s="1"/>
  <c r="I25" i="1"/>
  <c r="I37" i="1" s="1"/>
  <c r="J25" i="1"/>
  <c r="G9" i="1" s="1"/>
  <c r="K25" i="1"/>
  <c r="K37" i="1" s="1"/>
  <c r="F25" i="1"/>
  <c r="F37" i="1" s="1"/>
  <c r="Q26" i="1"/>
  <c r="Q38" i="1" s="1"/>
  <c r="F26" i="1"/>
  <c r="F38" i="1" s="1"/>
  <c r="N26" i="1"/>
  <c r="N38" i="1" s="1"/>
  <c r="J26" i="1"/>
  <c r="G10" i="1" s="1"/>
  <c r="H26" i="1"/>
  <c r="H38" i="1" s="1"/>
  <c r="O26" i="1"/>
  <c r="O38" i="1" s="1"/>
  <c r="D26" i="1"/>
  <c r="D38" i="1" s="1"/>
  <c r="K26" i="1"/>
  <c r="K38" i="1" s="1"/>
  <c r="M25" i="1"/>
  <c r="M37" i="1" s="1"/>
  <c r="H25" i="1"/>
  <c r="H37" i="1" s="1"/>
  <c r="B25" i="1"/>
  <c r="B37" i="1" s="1"/>
  <c r="E25" i="1"/>
  <c r="E37" i="1" s="1"/>
  <c r="C25" i="1"/>
  <c r="C37" i="1" s="1"/>
  <c r="N25" i="1"/>
  <c r="N37" i="1" s="1"/>
  <c r="Q25" i="1"/>
  <c r="Q37" i="1" s="1"/>
  <c r="O25" i="1"/>
  <c r="O37" i="1" s="1"/>
  <c r="P26" i="1"/>
  <c r="P38" i="1" s="1"/>
  <c r="E26" i="1"/>
  <c r="E38" i="1" s="1"/>
  <c r="M26" i="1"/>
  <c r="M38" i="1" s="1"/>
  <c r="C26" i="1"/>
  <c r="C38" i="1" s="1"/>
  <c r="R26" i="1"/>
  <c r="R38" i="1" s="1"/>
  <c r="I26" i="1"/>
  <c r="I38" i="1" s="1"/>
  <c r="L26" i="1"/>
  <c r="L38" i="1" s="1"/>
  <c r="G26" i="1"/>
  <c r="G38" i="1" s="1"/>
  <c r="F11" i="1"/>
  <c r="D11" i="1" s="1"/>
  <c r="B27" i="1" s="1"/>
  <c r="B39" i="1" s="1"/>
  <c r="C12" i="1"/>
  <c r="S12" i="1" s="1"/>
  <c r="J10" i="1" l="1"/>
  <c r="J7" i="1"/>
  <c r="J9" i="1"/>
  <c r="J8" i="1"/>
  <c r="I7" i="1"/>
  <c r="I9" i="1"/>
  <c r="I10" i="1"/>
  <c r="I8" i="1"/>
  <c r="E12" i="1"/>
  <c r="A28" i="1" s="1"/>
  <c r="Q12" i="1"/>
  <c r="R12" i="1" s="1"/>
  <c r="J38" i="1"/>
  <c r="J37" i="1"/>
  <c r="G27" i="1"/>
  <c r="G39" i="1" s="1"/>
  <c r="C27" i="1"/>
  <c r="C39" i="1" s="1"/>
  <c r="C13" i="1"/>
  <c r="L27" i="1"/>
  <c r="L39" i="1" s="1"/>
  <c r="H27" i="1"/>
  <c r="H39" i="1" s="1"/>
  <c r="O27" i="1"/>
  <c r="O39" i="1" s="1"/>
  <c r="E27" i="1"/>
  <c r="E39" i="1" s="1"/>
  <c r="D27" i="1"/>
  <c r="D39" i="1" s="1"/>
  <c r="F12" i="1"/>
  <c r="D12" i="1" s="1"/>
  <c r="I28" i="1" s="1"/>
  <c r="I40" i="1" s="1"/>
  <c r="P11" i="1"/>
  <c r="K27" i="1"/>
  <c r="K39" i="1" s="1"/>
  <c r="R27" i="1"/>
  <c r="R39" i="1" s="1"/>
  <c r="F27" i="1"/>
  <c r="F39" i="1" s="1"/>
  <c r="I27" i="1"/>
  <c r="I39" i="1" s="1"/>
  <c r="J27" i="1"/>
  <c r="P27" i="1"/>
  <c r="P39" i="1" s="1"/>
  <c r="Q27" i="1"/>
  <c r="Q39" i="1" s="1"/>
  <c r="N27" i="1"/>
  <c r="N39" i="1" s="1"/>
  <c r="M27" i="1"/>
  <c r="M39" i="1" s="1"/>
  <c r="H11" i="1" l="1"/>
  <c r="K11" i="1"/>
  <c r="F13" i="1"/>
  <c r="D13" i="1" s="1"/>
  <c r="P13" i="1" s="1"/>
  <c r="S13" i="1"/>
  <c r="E13" i="1"/>
  <c r="A29" i="1" s="1"/>
  <c r="Q13" i="1"/>
  <c r="R13" i="1" s="1"/>
  <c r="G11" i="1"/>
  <c r="J39" i="1"/>
  <c r="Q28" i="1"/>
  <c r="Q40" i="1" s="1"/>
  <c r="H28" i="1"/>
  <c r="H40" i="1" s="1"/>
  <c r="R28" i="1"/>
  <c r="R40" i="1" s="1"/>
  <c r="L28" i="1"/>
  <c r="L40" i="1" s="1"/>
  <c r="P28" i="1"/>
  <c r="P40" i="1" s="1"/>
  <c r="K28" i="1"/>
  <c r="K40" i="1" s="1"/>
  <c r="O28" i="1"/>
  <c r="O40" i="1" s="1"/>
  <c r="F28" i="1"/>
  <c r="F40" i="1" s="1"/>
  <c r="E28" i="1"/>
  <c r="E40" i="1" s="1"/>
  <c r="P12" i="1"/>
  <c r="H12" i="1" s="1"/>
  <c r="C14" i="1"/>
  <c r="B28" i="1"/>
  <c r="B40" i="1" s="1"/>
  <c r="J28" i="1"/>
  <c r="G12" i="1" s="1"/>
  <c r="D28" i="1"/>
  <c r="D40" i="1" s="1"/>
  <c r="G28" i="1"/>
  <c r="G40" i="1" s="1"/>
  <c r="C28" i="1"/>
  <c r="C40" i="1" s="1"/>
  <c r="M28" i="1"/>
  <c r="M40" i="1" s="1"/>
  <c r="N28" i="1"/>
  <c r="N40" i="1" s="1"/>
  <c r="F14" i="1"/>
  <c r="D14" i="1" s="1"/>
  <c r="F30" i="1" s="1"/>
  <c r="F42" i="1" s="1"/>
  <c r="J11" i="1" l="1"/>
  <c r="I11" i="1"/>
  <c r="H13" i="1"/>
  <c r="K13" i="1"/>
  <c r="K12" i="1"/>
  <c r="N29" i="1"/>
  <c r="N41" i="1" s="1"/>
  <c r="L29" i="1"/>
  <c r="L41" i="1" s="1"/>
  <c r="F29" i="1"/>
  <c r="F41" i="1" s="1"/>
  <c r="B29" i="1"/>
  <c r="B41" i="1" s="1"/>
  <c r="H29" i="1"/>
  <c r="H41" i="1" s="1"/>
  <c r="G29" i="1"/>
  <c r="G41" i="1" s="1"/>
  <c r="J29" i="1"/>
  <c r="G13" i="1" s="1"/>
  <c r="Q29" i="1"/>
  <c r="Q41" i="1" s="1"/>
  <c r="I29" i="1"/>
  <c r="I41" i="1" s="1"/>
  <c r="E29" i="1"/>
  <c r="E41" i="1" s="1"/>
  <c r="K29" i="1"/>
  <c r="K41" i="1" s="1"/>
  <c r="O29" i="1"/>
  <c r="O41" i="1" s="1"/>
  <c r="M29" i="1"/>
  <c r="M41" i="1" s="1"/>
  <c r="D29" i="1"/>
  <c r="D41" i="1" s="1"/>
  <c r="P29" i="1"/>
  <c r="P41" i="1" s="1"/>
  <c r="R29" i="1"/>
  <c r="R41" i="1" s="1"/>
  <c r="C29" i="1"/>
  <c r="C41" i="1" s="1"/>
  <c r="Q14" i="1"/>
  <c r="R14" i="1" s="1"/>
  <c r="S14" i="1"/>
  <c r="J40" i="1"/>
  <c r="E14" i="1"/>
  <c r="A30" i="1" s="1"/>
  <c r="C15" i="1"/>
  <c r="G30" i="1"/>
  <c r="G42" i="1" s="1"/>
  <c r="M30" i="1"/>
  <c r="M42" i="1" s="1"/>
  <c r="I30" i="1"/>
  <c r="I42" i="1" s="1"/>
  <c r="H30" i="1"/>
  <c r="H42" i="1" s="1"/>
  <c r="K30" i="1"/>
  <c r="K42" i="1" s="1"/>
  <c r="B30" i="1"/>
  <c r="B42" i="1" s="1"/>
  <c r="R30" i="1"/>
  <c r="R42" i="1" s="1"/>
  <c r="Q30" i="1"/>
  <c r="Q42" i="1" s="1"/>
  <c r="N30" i="1"/>
  <c r="N42" i="1" s="1"/>
  <c r="J30" i="1"/>
  <c r="G14" i="1" s="1"/>
  <c r="L30" i="1"/>
  <c r="L42" i="1" s="1"/>
  <c r="P30" i="1"/>
  <c r="P42" i="1" s="1"/>
  <c r="C30" i="1"/>
  <c r="C42" i="1" s="1"/>
  <c r="P14" i="1"/>
  <c r="O30" i="1"/>
  <c r="O42" i="1" s="1"/>
  <c r="D30" i="1"/>
  <c r="D42" i="1" s="1"/>
  <c r="E30" i="1"/>
  <c r="E42" i="1" s="1"/>
  <c r="J13" i="1" l="1"/>
  <c r="I12" i="1"/>
  <c r="J12" i="1"/>
  <c r="I13" i="1"/>
  <c r="J41" i="1"/>
  <c r="H14" i="1"/>
  <c r="K14" i="1"/>
  <c r="Q15" i="1"/>
  <c r="R15" i="1" s="1"/>
  <c r="S15" i="1"/>
  <c r="C16" i="1"/>
  <c r="J42" i="1"/>
  <c r="E15" i="1"/>
  <c r="A31" i="1" s="1"/>
  <c r="F15" i="1"/>
  <c r="J14" i="1" l="1"/>
  <c r="I14" i="1"/>
  <c r="C17" i="1"/>
  <c r="F17" i="1" s="1"/>
  <c r="D17" i="1" s="1"/>
  <c r="L33" i="1" s="1"/>
  <c r="L45" i="1" s="1"/>
  <c r="S16" i="1"/>
  <c r="F16" i="1"/>
  <c r="D16" i="1" s="1"/>
  <c r="Q32" i="1" s="1"/>
  <c r="Q44" i="1" s="1"/>
  <c r="E16" i="1"/>
  <c r="A32" i="1" s="1"/>
  <c r="Q16" i="1"/>
  <c r="R16" i="1" s="1"/>
  <c r="D15" i="1"/>
  <c r="N32" i="1" l="1"/>
  <c r="N44" i="1" s="1"/>
  <c r="H32" i="1"/>
  <c r="H44" i="1" s="1"/>
  <c r="Q17" i="1"/>
  <c r="R17" i="1" s="1"/>
  <c r="E17" i="1"/>
  <c r="A33" i="1" s="1"/>
  <c r="B32" i="1"/>
  <c r="B44" i="1" s="1"/>
  <c r="C32" i="1"/>
  <c r="C44" i="1" s="1"/>
  <c r="O32" i="1"/>
  <c r="O44" i="1" s="1"/>
  <c r="L32" i="1"/>
  <c r="L44" i="1" s="1"/>
  <c r="M32" i="1"/>
  <c r="M44" i="1" s="1"/>
  <c r="F32" i="1"/>
  <c r="F44" i="1" s="1"/>
  <c r="E32" i="1"/>
  <c r="E44" i="1" s="1"/>
  <c r="R32" i="1"/>
  <c r="R44" i="1" s="1"/>
  <c r="J32" i="1"/>
  <c r="G16" i="1" s="1"/>
  <c r="I32" i="1"/>
  <c r="I44" i="1" s="1"/>
  <c r="G32" i="1"/>
  <c r="G44" i="1" s="1"/>
  <c r="K32" i="1"/>
  <c r="K44" i="1" s="1"/>
  <c r="D32" i="1"/>
  <c r="D44" i="1" s="1"/>
  <c r="P16" i="1"/>
  <c r="P32" i="1"/>
  <c r="P44" i="1" s="1"/>
  <c r="C18" i="1"/>
  <c r="S18" i="1" s="1"/>
  <c r="S17" i="1"/>
  <c r="G33" i="1"/>
  <c r="G45" i="1" s="1"/>
  <c r="I33" i="1"/>
  <c r="I45" i="1" s="1"/>
  <c r="N33" i="1"/>
  <c r="N45" i="1" s="1"/>
  <c r="H33" i="1"/>
  <c r="H45" i="1" s="1"/>
  <c r="B33" i="1"/>
  <c r="B45" i="1" s="1"/>
  <c r="R33" i="1"/>
  <c r="R45" i="1" s="1"/>
  <c r="P17" i="1"/>
  <c r="O33" i="1"/>
  <c r="O45" i="1" s="1"/>
  <c r="P33" i="1"/>
  <c r="P45" i="1" s="1"/>
  <c r="K33" i="1"/>
  <c r="K45" i="1" s="1"/>
  <c r="J33" i="1"/>
  <c r="G17" i="1" s="1"/>
  <c r="E33" i="1"/>
  <c r="E45" i="1" s="1"/>
  <c r="D33" i="1"/>
  <c r="D45" i="1" s="1"/>
  <c r="C33" i="1"/>
  <c r="C45" i="1" s="1"/>
  <c r="F33" i="1"/>
  <c r="F45" i="1" s="1"/>
  <c r="Q33" i="1"/>
  <c r="Q45" i="1" s="1"/>
  <c r="M33" i="1"/>
  <c r="M45" i="1" s="1"/>
  <c r="P15" i="1"/>
  <c r="F31" i="1"/>
  <c r="F43" i="1" s="1"/>
  <c r="C31" i="1"/>
  <c r="C43" i="1" s="1"/>
  <c r="G31" i="1"/>
  <c r="G43" i="1" s="1"/>
  <c r="B31" i="1"/>
  <c r="B43" i="1" s="1"/>
  <c r="R31" i="1"/>
  <c r="R43" i="1" s="1"/>
  <c r="D31" i="1"/>
  <c r="D43" i="1" s="1"/>
  <c r="K31" i="1"/>
  <c r="K43" i="1" s="1"/>
  <c r="H31" i="1"/>
  <c r="H43" i="1" s="1"/>
  <c r="E31" i="1"/>
  <c r="E43" i="1" s="1"/>
  <c r="O31" i="1"/>
  <c r="O43" i="1" s="1"/>
  <c r="P31" i="1"/>
  <c r="P43" i="1" s="1"/>
  <c r="I31" i="1"/>
  <c r="I43" i="1" s="1"/>
  <c r="N31" i="1"/>
  <c r="N43" i="1" s="1"/>
  <c r="M31" i="1"/>
  <c r="M43" i="1" s="1"/>
  <c r="J31" i="1"/>
  <c r="G15" i="1" s="1"/>
  <c r="Q31" i="1"/>
  <c r="Q43" i="1" s="1"/>
  <c r="L31" i="1"/>
  <c r="L43" i="1" s="1"/>
  <c r="H15" i="1" l="1"/>
  <c r="K15" i="1"/>
  <c r="H17" i="1"/>
  <c r="K17" i="1"/>
  <c r="H16" i="1"/>
  <c r="K16" i="1"/>
  <c r="J44" i="1"/>
  <c r="Q18" i="1"/>
  <c r="R18" i="1" s="1"/>
  <c r="E18" i="1"/>
  <c r="A34" i="1" s="1"/>
  <c r="F18" i="1"/>
  <c r="D18" i="1" s="1"/>
  <c r="I34" i="1" s="1"/>
  <c r="I46" i="1" s="1"/>
  <c r="J43" i="1"/>
  <c r="J45" i="1"/>
  <c r="J16" i="1" l="1"/>
  <c r="J17" i="1"/>
  <c r="J15" i="1"/>
  <c r="I16" i="1"/>
  <c r="I17" i="1"/>
  <c r="I15" i="1"/>
  <c r="M34" i="1"/>
  <c r="M46" i="1" s="1"/>
  <c r="C34" i="1"/>
  <c r="C46" i="1" s="1"/>
  <c r="L34" i="1"/>
  <c r="L46" i="1" s="1"/>
  <c r="P34" i="1"/>
  <c r="P46" i="1" s="1"/>
  <c r="F34" i="1"/>
  <c r="F46" i="1" s="1"/>
  <c r="E34" i="1"/>
  <c r="E46" i="1" s="1"/>
  <c r="J34" i="1"/>
  <c r="G18" i="1" s="1"/>
  <c r="B34" i="1"/>
  <c r="B46" i="1" s="1"/>
  <c r="G34" i="1"/>
  <c r="G46" i="1" s="1"/>
  <c r="R34" i="1"/>
  <c r="R46" i="1" s="1"/>
  <c r="D34" i="1"/>
  <c r="D46" i="1" s="1"/>
  <c r="K34" i="1"/>
  <c r="K46" i="1" s="1"/>
  <c r="Q34" i="1"/>
  <c r="Q46" i="1" s="1"/>
  <c r="P18" i="1"/>
  <c r="N34" i="1"/>
  <c r="N46" i="1" s="1"/>
  <c r="O34" i="1"/>
  <c r="O46" i="1" s="1"/>
  <c r="H34" i="1"/>
  <c r="H46" i="1" s="1"/>
  <c r="H18" i="1" l="1"/>
  <c r="K18" i="1"/>
  <c r="J46" i="1"/>
  <c r="I18" i="1" l="1"/>
  <c r="J18" i="1"/>
</calcChain>
</file>

<file path=xl/comments1.xml><?xml version="1.0" encoding="utf-8"?>
<comments xmlns="http://schemas.openxmlformats.org/spreadsheetml/2006/main">
  <authors>
    <author>Alain</author>
    <author>jf</author>
  </authors>
  <commentList>
    <comment ref="A3" authorId="0">
      <text>
        <r>
          <rPr>
            <b/>
            <sz val="9"/>
            <color indexed="81"/>
            <rFont val="Tahoma"/>
            <charset val="1"/>
          </rPr>
          <t>Choisir une ville dans la liste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 xml:space="preserve">Choix manuel de la latitude
</t>
        </r>
        <r>
          <rPr>
            <sz val="9"/>
            <color indexed="81"/>
            <rFont val="Tahoma"/>
            <family val="2"/>
          </rPr>
          <t>n'est pas pris en compte si une villle est sélectionnée dans la case verte de gauche</t>
        </r>
      </text>
    </comment>
    <comment ref="D3" authorId="0">
      <text>
        <r>
          <rPr>
            <b/>
            <sz val="9"/>
            <color indexed="81"/>
            <rFont val="Tahoma"/>
            <family val="2"/>
          </rPr>
          <t xml:space="preserve">Choix manuel de la longitude
</t>
        </r>
        <r>
          <rPr>
            <sz val="9"/>
            <color indexed="81"/>
            <rFont val="Tahoma"/>
            <family val="2"/>
          </rPr>
          <t>n'est pas pris en compte si une villle est sélectionnée dans la case verte de gauche</t>
        </r>
      </text>
    </comment>
    <comment ref="B5" authorId="1">
      <text>
        <r>
          <rPr>
            <b/>
            <sz val="8"/>
            <color indexed="81"/>
            <rFont val="Tahoma"/>
            <family val="2"/>
          </rPr>
          <t>Ne pas modifier :
-</t>
        </r>
        <r>
          <rPr>
            <sz val="8"/>
            <color indexed="81"/>
            <rFont val="Tahoma"/>
            <family val="2"/>
          </rPr>
          <t xml:space="preserve">Si une ville est sélectionnée, la </t>
        </r>
        <r>
          <rPr>
            <sz val="8"/>
            <color indexed="81"/>
            <rFont val="Tahoma"/>
          </rPr>
          <t>latitude de la ville est automatiquement ajoutée ici
-Une latitude peut être saisie dans la case verte</t>
        </r>
      </text>
    </comment>
    <comment ref="E5" authorId="1">
      <text>
        <r>
          <rPr>
            <sz val="9"/>
            <color indexed="81"/>
            <rFont val="Tahoma"/>
            <family val="2"/>
          </rPr>
          <t xml:space="preserve">Angle entre les rayons solaires et la verticale de l'équateur. </t>
        </r>
      </text>
    </comment>
    <comment ref="G5" authorId="0">
      <text>
        <r>
          <rPr>
            <sz val="9"/>
            <color indexed="81"/>
            <rFont val="Tahoma"/>
            <family val="2"/>
          </rPr>
          <t>Indice AM à midi.</t>
        </r>
      </text>
    </comment>
    <comment ref="H5" authorId="0">
      <text>
        <r>
          <rPr>
            <sz val="9"/>
            <color indexed="81"/>
            <rFont val="Tahoma"/>
            <family val="2"/>
          </rPr>
          <t>Durée du jour, en heures solaires</t>
        </r>
      </text>
    </comment>
    <comment ref="P5" authorId="0">
      <text>
        <r>
          <rPr>
            <sz val="9"/>
            <color indexed="81"/>
            <rFont val="Tahoma"/>
            <charset val="1"/>
          </rPr>
          <t>calcul intermédaire pour la durée du jour</t>
        </r>
      </text>
    </comment>
    <comment ref="R5" authorId="0">
      <text>
        <r>
          <rPr>
            <sz val="9"/>
            <color indexed="81"/>
            <rFont val="Tahoma"/>
            <family val="2"/>
          </rPr>
          <t>équation du temps:
correction de l'heure (en minutes) en fonction du jour de l'année</t>
        </r>
      </text>
    </comment>
    <comment ref="S5" authorId="0">
      <text>
        <r>
          <rPr>
            <sz val="9"/>
            <color indexed="81"/>
            <rFont val="Tahoma"/>
            <family val="2"/>
          </rPr>
          <t>Décallage (en minutes) entre l'heure solaire et l'heure civile</t>
        </r>
      </text>
    </comment>
    <comment ref="C6" authorId="0">
      <text>
        <r>
          <rPr>
            <sz val="9"/>
            <color indexed="81"/>
            <rFont val="Tahoma"/>
            <family val="2"/>
          </rPr>
          <t>jour de l'année</t>
        </r>
      </text>
    </comment>
    <comment ref="A22" authorId="1">
      <text>
        <r>
          <rPr>
            <sz val="8"/>
            <color indexed="81"/>
            <rFont val="Tahoma"/>
          </rPr>
          <t xml:space="preserve">Permet de transformer en angle l'heure solaire
</t>
        </r>
      </text>
    </comment>
  </commentList>
</comments>
</file>

<file path=xl/comments2.xml><?xml version="1.0" encoding="utf-8"?>
<comments xmlns="http://schemas.openxmlformats.org/spreadsheetml/2006/main">
  <authors>
    <author>Alain</author>
  </authors>
  <commentList>
    <comment ref="F1" authorId="0">
      <text>
        <r>
          <rPr>
            <sz val="9"/>
            <color indexed="81"/>
            <rFont val="Tahoma"/>
            <family val="2"/>
          </rPr>
          <t>Sert:
-pour chercher la déclinaison magnétique
-pour calculer l'heure solaire</t>
        </r>
      </text>
    </comment>
    <comment ref="L1" authorId="0">
      <text>
        <r>
          <rPr>
            <sz val="9"/>
            <color indexed="81"/>
            <rFont val="Tahoma"/>
            <charset val="1"/>
          </rPr>
          <t>Peut être trouvée sur 
http://www.ngdc.noaa.gov/geomag-web/#declination</t>
        </r>
      </text>
    </comment>
    <comment ref="M2" authorId="0">
      <text>
        <r>
          <rPr>
            <sz val="9"/>
            <color indexed="81"/>
            <rFont val="Tahoma"/>
            <family val="2"/>
          </rPr>
          <t>incerticude</t>
        </r>
      </text>
    </comment>
    <comment ref="Q2" authorId="0">
      <text>
        <r>
          <rPr>
            <sz val="9"/>
            <color indexed="81"/>
            <rFont val="Tahoma"/>
            <family val="2"/>
          </rPr>
          <t>date de mise à jour des données
(bah, oui, ça bouge tout le temps!)</t>
        </r>
      </text>
    </comment>
    <comment ref="C35" authorId="0">
      <text>
        <r>
          <rPr>
            <sz val="9"/>
            <color indexed="81"/>
            <rFont val="Tahoma"/>
            <family val="2"/>
          </rPr>
          <t>sommet le plus haut de Majorque</t>
        </r>
      </text>
    </comment>
  </commentList>
</comments>
</file>

<file path=xl/comments3.xml><?xml version="1.0" encoding="utf-8"?>
<comments xmlns="http://schemas.openxmlformats.org/spreadsheetml/2006/main">
  <authors>
    <author>Alain</author>
  </authors>
  <commentList>
    <comment ref="A9" authorId="0">
      <text>
        <r>
          <rPr>
            <sz val="9"/>
            <color indexed="81"/>
            <rFont val="Tahoma"/>
            <family val="2"/>
          </rPr>
          <t>Sorte d'effet "toupie" provoqué par le couple qu'exercent les forces de marées de la Lune et du Soleil sur le renflement équatorial de la Terre.</t>
        </r>
      </text>
    </comment>
    <comment ref="A13" authorId="0">
      <text>
        <r>
          <rPr>
            <sz val="9"/>
            <color indexed="81"/>
            <rFont val="Tahoma"/>
            <family val="2"/>
          </rPr>
          <t>La nutation est un balancement périodique de l'axe de rotation de la Terre autour de sa position moyenne, due à l'attraction conjuguée du Soleil et de la Lune.</t>
        </r>
      </text>
    </comment>
    <comment ref="A15" authorId="0">
      <text>
        <r>
          <rPr>
            <sz val="9"/>
            <color indexed="81"/>
            <rFont val="Tahoma"/>
            <family val="2"/>
          </rPr>
          <t>oscillation de l'équateur vrai autour de l'équateur moyen</t>
        </r>
      </text>
    </comment>
  </commentList>
</comments>
</file>

<file path=xl/comments4.xml><?xml version="1.0" encoding="utf-8"?>
<comments xmlns="http://schemas.openxmlformats.org/spreadsheetml/2006/main">
  <authors>
    <author>Alain</author>
  </authors>
  <commentList>
    <comment ref="E15" authorId="0">
      <text>
        <r>
          <rPr>
            <b/>
            <sz val="9"/>
            <color indexed="81"/>
            <rFont val="Tahoma"/>
            <family val="2"/>
          </rPr>
          <t>Alain:</t>
        </r>
        <r>
          <rPr>
            <sz val="9"/>
            <color indexed="81"/>
            <rFont val="Tahoma"/>
            <family val="2"/>
          </rPr>
          <t xml:space="preserve">
Ne pas effacer cette case.
</t>
        </r>
      </text>
    </comment>
  </commentList>
</comments>
</file>

<file path=xl/sharedStrings.xml><?xml version="1.0" encoding="utf-8"?>
<sst xmlns="http://schemas.openxmlformats.org/spreadsheetml/2006/main" count="407" uniqueCount="227">
  <si>
    <t>Déclinaison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</si>
  <si>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</si>
  <si>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</si>
  <si>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</si>
  <si>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</si>
  <si>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</si>
  <si>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</si>
  <si>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</si>
  <si>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</si>
  <si>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</si>
  <si>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</si>
  <si>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</si>
  <si>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</si>
  <si>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angle solaire</t>
  </si>
  <si>
    <t>heures solaires vraies</t>
  </si>
  <si>
    <t>d</t>
  </si>
  <si>
    <t>HAUTEURS</t>
  </si>
  <si>
    <t>AZIMUTS</t>
  </si>
  <si>
    <r>
      <t xml:space="preserve">Latitude du lieu </t>
    </r>
    <r>
      <rPr>
        <b/>
        <sz val="14"/>
        <rFont val="Symbol"/>
        <family val="1"/>
        <charset val="2"/>
      </rPr>
      <t>F</t>
    </r>
  </si>
  <si>
    <t>Villes</t>
  </si>
  <si>
    <t>France</t>
  </si>
  <si>
    <t>Paris</t>
  </si>
  <si>
    <t>Lyon</t>
  </si>
  <si>
    <t>Marseille</t>
  </si>
  <si>
    <t>Poitier</t>
  </si>
  <si>
    <t>Beauvais</t>
  </si>
  <si>
    <t>Brest</t>
  </si>
  <si>
    <t>Roissy (95700)</t>
  </si>
  <si>
    <t>Almeria</t>
  </si>
  <si>
    <t>Seville</t>
  </si>
  <si>
    <t>Getafe</t>
  </si>
  <si>
    <t>Madrid</t>
  </si>
  <si>
    <t>Barcelone</t>
  </si>
  <si>
    <t>Espagne</t>
  </si>
  <si>
    <t>Odeillo (66120)</t>
  </si>
  <si>
    <t>Pointe-à-Pitre</t>
  </si>
  <si>
    <t>Feuille en préparation</t>
  </si>
  <si>
    <t>inclinaison moyenne</t>
  </si>
  <si>
    <t>au</t>
  </si>
  <si>
    <t>nutation</t>
  </si>
  <si>
    <t>inclinaison minimum</t>
  </si>
  <si>
    <t>inclinaison maximum</t>
  </si>
  <si>
    <t>precession</t>
  </si>
  <si>
    <t>nutation en obliquité</t>
  </si>
  <si>
    <t>ans</t>
  </si>
  <si>
    <t>période</t>
  </si>
  <si>
    <t>°</t>
  </si>
  <si>
    <t>inclinaison actuelle</t>
  </si>
  <si>
    <t>Corse</t>
  </si>
  <si>
    <t>Corte</t>
  </si>
  <si>
    <t>Guadeloupe</t>
  </si>
  <si>
    <t>Pays/région</t>
  </si>
  <si>
    <t>Longitude</t>
  </si>
  <si>
    <t>N</t>
  </si>
  <si>
    <t>O</t>
  </si>
  <si>
    <t>E/O</t>
  </si>
  <si>
    <t>E</t>
  </si>
  <si>
    <t>W</t>
  </si>
  <si>
    <t>+/-</t>
  </si>
  <si>
    <t>°/an</t>
  </si>
  <si>
    <t>declinaison magnétique</t>
  </si>
  <si>
    <t>Montréal</t>
  </si>
  <si>
    <t>Canada</t>
  </si>
  <si>
    <t>inclinaison utilisée</t>
  </si>
  <si>
    <t>équateur</t>
  </si>
  <si>
    <t>&lt;= ou =&gt;</t>
  </si>
  <si>
    <t>choix</t>
  </si>
  <si>
    <t>N/S</t>
  </si>
  <si>
    <t>Tropique du cancer</t>
  </si>
  <si>
    <t>radian</t>
  </si>
  <si>
    <t>déclinaison magnétique</t>
  </si>
  <si>
    <t>Guyane</t>
  </si>
  <si>
    <t>Kourou</t>
  </si>
  <si>
    <t>Polynésie Fr</t>
  </si>
  <si>
    <t>S</t>
  </si>
  <si>
    <t>maj</t>
  </si>
  <si>
    <t>?</t>
  </si>
  <si>
    <t>Jour</t>
  </si>
  <si>
    <t>heures</t>
  </si>
  <si>
    <t>int</t>
  </si>
  <si>
    <t>Nantes</t>
  </si>
  <si>
    <t>°/jour</t>
  </si>
  <si>
    <t>rad/jour</t>
  </si>
  <si>
    <t>Versions</t>
  </si>
  <si>
    <t>V1</t>
  </si>
  <si>
    <t>V2_0</t>
  </si>
  <si>
    <t>calul de la déclinaison pour les jours de l'année choisis</t>
  </si>
  <si>
    <t>V2</t>
  </si>
  <si>
    <t>diagramme disponible soit à mi-mois, soit pour les équinox</t>
  </si>
  <si>
    <t>Date</t>
  </si>
  <si>
    <t>et =&gt;</t>
  </si>
  <si>
    <t>V3_0</t>
  </si>
  <si>
    <t>Parmêtres</t>
  </si>
  <si>
    <t>km</t>
  </si>
  <si>
    <t>vitesse angulaire de la terre autour du soleil</t>
  </si>
  <si>
    <t>rayon équatorial de la terre</t>
  </si>
  <si>
    <t>rayon polaire de la terre</t>
  </si>
  <si>
    <t>Air Mass</t>
  </si>
  <si>
    <t>/atm</t>
  </si>
  <si>
    <t>Calcul de l'indice d'Air Mass</t>
  </si>
  <si>
    <t>épaisseur "optique" de l'atmosphére</t>
  </si>
  <si>
    <t>V3_01</t>
  </si>
  <si>
    <t>Utilisation d'une meilleure formule</t>
  </si>
  <si>
    <t>=</t>
  </si>
  <si>
    <t>r/epp=</t>
  </si>
  <si>
    <t>Altitude</t>
  </si>
  <si>
    <t>nin</t>
  </si>
  <si>
    <t>max</t>
  </si>
  <si>
    <t>moy</t>
  </si>
  <si>
    <t>lever</t>
  </si>
  <si>
    <t>jour du mois:</t>
  </si>
  <si>
    <t>jour</t>
  </si>
  <si>
    <t>B</t>
  </si>
  <si>
    <t>V3_02</t>
  </si>
  <si>
    <t>Calcul du décallage entre l'heure solaire et l'heure civile</t>
  </si>
  <si>
    <t>longitude:</t>
  </si>
  <si>
    <t>soit</t>
  </si>
  <si>
    <t>minutes</t>
  </si>
  <si>
    <t>couché</t>
  </si>
  <si>
    <t>midi</t>
  </si>
  <si>
    <t>Chambéry</t>
  </si>
  <si>
    <t xml:space="preserve">Le Mans </t>
  </si>
  <si>
    <t>V3_03</t>
  </si>
  <si>
    <t>Enfin! J'ai réusis à faire venir la déclinaison magnétique sur le diagramme</t>
  </si>
  <si>
    <t>altitude:</t>
  </si>
  <si>
    <t>Palma de Majorque</t>
  </si>
  <si>
    <t>Majorque</t>
  </si>
  <si>
    <t>Puig Major</t>
  </si>
  <si>
    <t>Argentine</t>
  </si>
  <si>
    <t>Buenos Aires</t>
  </si>
  <si>
    <t>V3_04</t>
  </si>
  <si>
    <t>Décallage GMT</t>
  </si>
  <si>
    <t>hivers</t>
  </si>
  <si>
    <t>été</t>
  </si>
  <si>
    <t>Caracas</t>
  </si>
  <si>
    <t>heure légale</t>
  </si>
  <si>
    <t>Décallage de l'heure solaire</t>
  </si>
  <si>
    <t>Données</t>
  </si>
  <si>
    <t>Amélioration du calcul du décallage entre l'heure solaire et l'heure civile</t>
  </si>
  <si>
    <t>*</t>
  </si>
  <si>
    <t>+ la longitude peut maintenant être entrée en saisie manuelle</t>
  </si>
  <si>
    <t>Latitude</t>
  </si>
  <si>
    <r>
      <rPr>
        <b/>
        <sz val="12"/>
        <rFont val="Calibri"/>
        <family val="2"/>
      </rPr>
      <t>↓</t>
    </r>
    <r>
      <rPr>
        <b/>
        <sz val="12"/>
        <rFont val="Arial"/>
        <family val="2"/>
      </rPr>
      <t xml:space="preserve"> Saisie Guidée </t>
    </r>
    <r>
      <rPr>
        <b/>
        <sz val="12"/>
        <rFont val="Calibri"/>
        <family val="2"/>
      </rPr>
      <t>↓</t>
    </r>
  </si>
  <si>
    <r>
      <rPr>
        <b/>
        <sz val="12"/>
        <rFont val="Calibri"/>
        <family val="2"/>
      </rPr>
      <t>↓</t>
    </r>
    <r>
      <rPr>
        <b/>
        <sz val="12"/>
        <rFont val="Arial"/>
        <family val="2"/>
      </rPr>
      <t xml:space="preserve"> Saisie Manuelle </t>
    </r>
    <r>
      <rPr>
        <b/>
        <sz val="12"/>
        <rFont val="Calibri"/>
        <family val="2"/>
      </rPr>
      <t>↓</t>
    </r>
  </si>
  <si>
    <t>heure d'hivers:     GMT</t>
  </si>
  <si>
    <t>heure d'été:     GMT</t>
  </si>
  <si>
    <t>Heure légale:</t>
  </si>
  <si>
    <t>avec Greenwitch</t>
  </si>
  <si>
    <t>Zone horaire:</t>
  </si>
  <si>
    <t>Ville:</t>
  </si>
  <si>
    <t>avec l'heure léguale d'été</t>
  </si>
  <si>
    <t>avec l'heure léguale d'hivers</t>
  </si>
  <si>
    <t>année</t>
  </si>
  <si>
    <t>changement d'heure</t>
  </si>
  <si>
    <t>hivers ==&gt; été</t>
  </si>
  <si>
    <t>été ==&gt; hivers</t>
  </si>
  <si>
    <t>Date de changement d'heure</t>
  </si>
  <si>
    <t>D</t>
  </si>
  <si>
    <t>e jour de l'année</t>
  </si>
  <si>
    <t>soit le</t>
  </si>
  <si>
    <t>état du calcul de l'heure léguale</t>
  </si>
  <si>
    <t>O/N</t>
  </si>
  <si>
    <t>+ si l'heure léguale est inconnue, le midi solaire, le lever et le coucher de soleil calculés par rapport à l'heure solaire moyenne</t>
  </si>
  <si>
    <t>SO</t>
  </si>
  <si>
    <t>V3_05</t>
  </si>
  <si>
    <t>En développement</t>
  </si>
  <si>
    <t>poles</t>
  </si>
  <si>
    <t>A</t>
  </si>
  <si>
    <t>Fuseau</t>
  </si>
  <si>
    <t>Eu-centrale</t>
  </si>
  <si>
    <t>EU-est</t>
  </si>
  <si>
    <t>Eu-ouest</t>
  </si>
  <si>
    <t>P</t>
  </si>
  <si>
    <t>Ville</t>
  </si>
  <si>
    <t>Moscou</t>
  </si>
  <si>
    <t>Réunion</t>
  </si>
  <si>
    <t>Martinique</t>
  </si>
  <si>
    <t>UTC-3</t>
  </si>
  <si>
    <t>Sao Polo</t>
  </si>
  <si>
    <t>UTC-4</t>
  </si>
  <si>
    <t>UTC+4</t>
  </si>
  <si>
    <t>Mayote</t>
  </si>
  <si>
    <t>Papeete (Tahiti)</t>
  </si>
  <si>
    <t>UTC-10</t>
  </si>
  <si>
    <t>+ enrichissement France Outre Mer (à poursuivre)</t>
  </si>
  <si>
    <t>Fichier initial fournis par le GeFen</t>
  </si>
  <si>
    <t>Fort-de-France</t>
  </si>
  <si>
    <t>Cercle Arctique</t>
  </si>
  <si>
    <t>Lille</t>
  </si>
  <si>
    <t>+ enrichissement donées géographiques</t>
  </si>
  <si>
    <t>Saint-Pierre</t>
  </si>
  <si>
    <t>St Bartelemy</t>
  </si>
  <si>
    <t>Gustavia</t>
  </si>
  <si>
    <t>Mamoudzou</t>
  </si>
  <si>
    <t>St Martin</t>
  </si>
  <si>
    <t>Marigot</t>
  </si>
  <si>
    <t>Nle Calédonie</t>
  </si>
  <si>
    <t>UTC+11</t>
  </si>
  <si>
    <t>Nouméa</t>
  </si>
  <si>
    <t>St Pierre et M.</t>
  </si>
  <si>
    <t>Q</t>
  </si>
  <si>
    <t>Londres</t>
  </si>
  <si>
    <t>Saint-Denis</t>
  </si>
  <si>
    <t xml:space="preserve">Les remarques et les contributions constructives sont les bienvenues: </t>
  </si>
  <si>
    <t>alain.971@laposte.net</t>
  </si>
  <si>
    <t>UTC-11</t>
  </si>
  <si>
    <t>X</t>
  </si>
  <si>
    <t>UTC-9:30</t>
  </si>
  <si>
    <t>UTC-9</t>
  </si>
  <si>
    <t>V</t>
  </si>
  <si>
    <t>Nuku Hiva</t>
  </si>
  <si>
    <t xml:space="preserve"> </t>
  </si>
  <si>
    <t>V+</t>
  </si>
  <si>
    <t>UTC+3</t>
  </si>
  <si>
    <t>L</t>
  </si>
  <si>
    <t>C</t>
  </si>
  <si>
    <t>UTC+2</t>
  </si>
  <si>
    <t>+ corrections bugs en cas de saisie manuelle</t>
  </si>
  <si>
    <t>+ corrections bugs pour l'équateur, le cercle arctique</t>
  </si>
  <si>
    <t>nombre de jours dans une année "sidérale"</t>
  </si>
  <si>
    <t>jours</t>
  </si>
  <si>
    <t>+ correction (mineure) du nombre de jour dans une année (sidérale) et latitude du cercle arctique</t>
  </si>
  <si>
    <t xml:space="preserve">en plus des </t>
  </si>
  <si>
    <t>+ correction bug midi indiqué la nuit</t>
  </si>
  <si>
    <t>+ correction bug calcul lever et coucher de soleil si jour ou nuit &gt;24h</t>
  </si>
  <si>
    <t>Pôle nord (géo)</t>
  </si>
  <si>
    <t>+ correction bug pole nord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</si>
</sst>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.0"/>
    <numFmt numFmtId="165" formatCode="[$-40C]d\ mmmm\ yyyy;@"/>
    <numFmt numFmtId="166" formatCode="[$-40C]d\-mmm;@"/>
    <numFmt numFmtId="167" formatCode="h:mm:ss;@"/>
    <numFmt numFmtId="168" formatCode="h:mm;@"/>
    <numFmt numFmtId="169" formatCode="0.00_ ;\-0.00\ "/>
    <numFmt numFmtId="170" formatCode="d/m/yy;@"/>
    <numFmt numFmtId="171" formatCode="dd/mm/yy;@"/>
    <numFmt numFmtId="172" formatCode="[h]:mm:ss.00"/>
  </numFmts>
  <fonts count="23">
    <font>
      <sz val="10"/>
      <name val="Arial"/>
    </font>
    <font>
      <sz val="8"/>
      <name val="Arial"/>
    </font>
    <font>
      <sz val="10"/>
      <name val="Symbol"/>
      <family val="1"/>
      <charset val="2"/>
    </font>
    <font>
      <b/>
      <sz val="10"/>
      <name val="Arial"/>
      <family val="2"/>
    </font>
    <font>
      <b/>
      <sz val="14"/>
      <name val="Arial"/>
    </font>
    <font>
      <b/>
      <sz val="14"/>
      <name val="Symbol"/>
      <family val="1"/>
      <charset val="2"/>
    </font>
    <font>
      <b/>
      <sz val="14"/>
      <name val="Arial"/>
      <family val="2"/>
    </font>
    <font>
      <sz val="10"/>
      <color indexed="13"/>
      <name val="Arial"/>
      <family val="2"/>
    </font>
    <font>
      <sz val="16"/>
      <name val="Antigoni Med"/>
      <family val="2"/>
    </font>
    <font>
      <sz val="8"/>
      <color indexed="81"/>
      <name val="Tahoma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2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indexed="81"/>
      <name val="Tahoma"/>
      <charset val="1"/>
    </font>
    <font>
      <b/>
      <u/>
      <sz val="10"/>
      <name val="Arial"/>
      <family val="2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  <font>
      <sz val="8"/>
      <name val="Arial"/>
      <family val="2"/>
    </font>
    <font>
      <b/>
      <sz val="12"/>
      <name val="Calibri"/>
      <family val="2"/>
    </font>
    <font>
      <u/>
      <sz val="10"/>
      <color theme="10"/>
      <name val="Arial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13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ill="1" applyProtection="1">
      <protection hidden="1"/>
    </xf>
    <xf numFmtId="0" fontId="0" fillId="2" borderId="0" xfId="0" applyFill="1" applyAlignment="1" applyProtection="1">
      <alignment horizontal="center"/>
      <protection hidden="1"/>
    </xf>
    <xf numFmtId="164" fontId="0" fillId="2" borderId="0" xfId="0" applyNumberFormat="1" applyFill="1" applyAlignment="1" applyProtection="1">
      <alignment horizontal="center"/>
      <protection hidden="1"/>
    </xf>
    <xf numFmtId="0" fontId="4" fillId="0" borderId="1" xfId="0" applyFont="1" applyBorder="1" applyProtection="1">
      <protection hidden="1"/>
    </xf>
    <xf numFmtId="0" fontId="7" fillId="2" borderId="0" xfId="0" applyFont="1" applyFill="1" applyAlignment="1" applyProtection="1">
      <alignment horizontal="center"/>
      <protection hidden="1"/>
    </xf>
    <xf numFmtId="0" fontId="7" fillId="2" borderId="0" xfId="0" applyFont="1" applyFill="1" applyBorder="1" applyAlignment="1" applyProtection="1">
      <alignment horizontal="center"/>
      <protection hidden="1"/>
    </xf>
    <xf numFmtId="0" fontId="2" fillId="3" borderId="3" xfId="0" applyFont="1" applyFill="1" applyBorder="1" applyAlignment="1" applyProtection="1">
      <alignment horizontal="center"/>
      <protection hidden="1"/>
    </xf>
    <xf numFmtId="0" fontId="0" fillId="4" borderId="8" xfId="0" applyFill="1" applyBorder="1" applyProtection="1">
      <protection hidden="1"/>
    </xf>
    <xf numFmtId="0" fontId="0" fillId="4" borderId="9" xfId="0" applyFill="1" applyBorder="1" applyAlignment="1" applyProtection="1">
      <alignment horizontal="center"/>
      <protection hidden="1"/>
    </xf>
    <xf numFmtId="0" fontId="0" fillId="4" borderId="10" xfId="0" applyFill="1" applyBorder="1" applyAlignment="1" applyProtection="1">
      <alignment horizontal="center"/>
      <protection hidden="1"/>
    </xf>
    <xf numFmtId="1" fontId="0" fillId="4" borderId="10" xfId="0" applyNumberFormat="1" applyFill="1" applyBorder="1" applyAlignment="1" applyProtection="1">
      <alignment horizontal="center"/>
      <protection hidden="1"/>
    </xf>
    <xf numFmtId="0" fontId="0" fillId="4" borderId="11" xfId="0" applyFill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5" borderId="8" xfId="0" applyFill="1" applyBorder="1" applyProtection="1">
      <protection hidden="1"/>
    </xf>
    <xf numFmtId="0" fontId="0" fillId="5" borderId="9" xfId="0" applyFill="1" applyBorder="1" applyAlignment="1" applyProtection="1">
      <alignment horizontal="center"/>
      <protection hidden="1"/>
    </xf>
    <xf numFmtId="0" fontId="0" fillId="5" borderId="10" xfId="0" applyFill="1" applyBorder="1" applyAlignment="1" applyProtection="1">
      <alignment horizontal="center"/>
      <protection hidden="1"/>
    </xf>
    <xf numFmtId="0" fontId="0" fillId="5" borderId="11" xfId="0" applyFill="1" applyBorder="1" applyAlignment="1" applyProtection="1">
      <alignment horizontal="center"/>
      <protection hidden="1"/>
    </xf>
    <xf numFmtId="0" fontId="0" fillId="0" borderId="12" xfId="0" applyBorder="1" applyAlignment="1" applyProtection="1">
      <alignment horizontal="center"/>
      <protection hidden="1"/>
    </xf>
    <xf numFmtId="0" fontId="0" fillId="0" borderId="13" xfId="0" applyBorder="1" applyAlignment="1" applyProtection="1">
      <alignment horizontal="center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15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164" fontId="0" fillId="0" borderId="0" xfId="0" applyNumberFormat="1" applyBorder="1" applyAlignment="1" applyProtection="1">
      <alignment horizontal="center"/>
      <protection hidden="1"/>
    </xf>
    <xf numFmtId="0" fontId="0" fillId="0" borderId="16" xfId="0" applyBorder="1" applyAlignment="1" applyProtection="1">
      <alignment horizontal="center"/>
      <protection hidden="1"/>
    </xf>
    <xf numFmtId="0" fontId="0" fillId="0" borderId="17" xfId="0" applyBorder="1" applyAlignment="1" applyProtection="1">
      <alignment horizontal="center"/>
      <protection hidden="1"/>
    </xf>
    <xf numFmtId="0" fontId="0" fillId="0" borderId="18" xfId="0" applyBorder="1" applyAlignment="1" applyProtection="1">
      <alignment horizontal="center"/>
      <protection hidden="1"/>
    </xf>
    <xf numFmtId="0" fontId="0" fillId="0" borderId="19" xfId="0" applyBorder="1" applyAlignment="1" applyProtection="1">
      <alignment horizontal="center"/>
      <protection hidden="1"/>
    </xf>
    <xf numFmtId="0" fontId="1" fillId="7" borderId="4" xfId="0" applyFont="1" applyFill="1" applyBorder="1" applyProtection="1">
      <protection hidden="1"/>
    </xf>
    <xf numFmtId="0" fontId="1" fillId="7" borderId="6" xfId="0" applyFont="1" applyFill="1" applyBorder="1" applyProtection="1">
      <protection hidden="1"/>
    </xf>
    <xf numFmtId="0" fontId="11" fillId="0" borderId="0" xfId="0" applyFont="1"/>
    <xf numFmtId="2" fontId="0" fillId="0" borderId="0" xfId="0" applyNumberFormat="1"/>
    <xf numFmtId="0" fontId="3" fillId="0" borderId="0" xfId="0" applyFont="1"/>
    <xf numFmtId="165" fontId="0" fillId="0" borderId="0" xfId="0" applyNumberFormat="1"/>
    <xf numFmtId="3" fontId="0" fillId="0" borderId="0" xfId="0" applyNumberFormat="1"/>
    <xf numFmtId="2" fontId="11" fillId="0" borderId="0" xfId="0" applyNumberFormat="1" applyFont="1"/>
    <xf numFmtId="164" fontId="11" fillId="0" borderId="0" xfId="0" applyNumberFormat="1" applyFont="1"/>
    <xf numFmtId="164" fontId="0" fillId="0" borderId="0" xfId="0" applyNumberFormat="1"/>
    <xf numFmtId="2" fontId="1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11" fillId="0" borderId="0" xfId="0" applyFont="1" applyAlignment="1">
      <alignment horizontal="center"/>
    </xf>
    <xf numFmtId="2" fontId="11" fillId="0" borderId="0" xfId="0" quotePrefix="1" applyNumberFormat="1" applyFont="1"/>
    <xf numFmtId="0" fontId="0" fillId="0" borderId="0" xfId="0" applyNumberFormat="1"/>
    <xf numFmtId="0" fontId="11" fillId="0" borderId="0" xfId="0" applyNumberFormat="1" applyFont="1"/>
    <xf numFmtId="0" fontId="10" fillId="8" borderId="0" xfId="0" applyFont="1" applyFill="1" applyAlignment="1" applyProtection="1">
      <alignment horizontal="center" vertical="center"/>
      <protection hidden="1"/>
    </xf>
    <xf numFmtId="16" fontId="0" fillId="2" borderId="0" xfId="0" applyNumberFormat="1" applyFill="1" applyAlignment="1" applyProtection="1">
      <alignment horizontal="center"/>
      <protection hidden="1"/>
    </xf>
    <xf numFmtId="0" fontId="13" fillId="2" borderId="0" xfId="0" applyFont="1" applyFill="1" applyAlignment="1" applyProtection="1">
      <alignment horizontal="center"/>
      <protection hidden="1"/>
    </xf>
    <xf numFmtId="0" fontId="10" fillId="2" borderId="25" xfId="0" applyFont="1" applyFill="1" applyBorder="1" applyAlignment="1" applyProtection="1">
      <alignment horizontal="center" vertical="center"/>
      <protection hidden="1"/>
    </xf>
    <xf numFmtId="0" fontId="0" fillId="5" borderId="10" xfId="0" applyNumberFormat="1" applyFill="1" applyBorder="1" applyAlignment="1" applyProtection="1">
      <alignment horizontal="center"/>
      <protection hidden="1"/>
    </xf>
    <xf numFmtId="0" fontId="0" fillId="0" borderId="13" xfId="0" applyNumberFormat="1" applyBorder="1" applyAlignment="1" applyProtection="1">
      <alignment horizontal="center"/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0" fillId="0" borderId="18" xfId="0" applyNumberFormat="1" applyBorder="1" applyAlignment="1" applyProtection="1">
      <alignment horizontal="center"/>
      <protection hidden="1"/>
    </xf>
    <xf numFmtId="0" fontId="11" fillId="2" borderId="0" xfId="0" applyNumberFormat="1" applyFont="1" applyFill="1" applyBorder="1" applyAlignment="1" applyProtection="1">
      <alignment horizontal="center"/>
      <protection hidden="1"/>
    </xf>
    <xf numFmtId="0" fontId="3" fillId="0" borderId="0" xfId="0" applyFont="1" applyAlignment="1">
      <alignment horizontal="center"/>
    </xf>
    <xf numFmtId="0" fontId="6" fillId="0" borderId="1" xfId="0" applyFont="1" applyBorder="1" applyAlignment="1" applyProtection="1">
      <alignment horizontal="center"/>
    </xf>
    <xf numFmtId="0" fontId="11" fillId="2" borderId="0" xfId="0" applyFont="1" applyFill="1" applyAlignment="1" applyProtection="1">
      <alignment horizontal="center"/>
      <protection hidden="1"/>
    </xf>
    <xf numFmtId="164" fontId="0" fillId="3" borderId="5" xfId="0" applyNumberFormat="1" applyFill="1" applyBorder="1" applyAlignment="1" applyProtection="1">
      <alignment horizontal="center"/>
      <protection hidden="1"/>
    </xf>
    <xf numFmtId="164" fontId="0" fillId="3" borderId="7" xfId="0" applyNumberFormat="1" applyFill="1" applyBorder="1" applyAlignment="1" applyProtection="1">
      <alignment horizontal="center"/>
      <protection hidden="1"/>
    </xf>
    <xf numFmtId="0" fontId="3" fillId="2" borderId="27" xfId="0" quotePrefix="1" applyFont="1" applyFill="1" applyBorder="1" applyAlignment="1" applyProtection="1">
      <alignment horizontal="center" vertical="center"/>
      <protection hidden="1"/>
    </xf>
    <xf numFmtId="166" fontId="11" fillId="3" borderId="4" xfId="0" applyNumberFormat="1" applyFont="1" applyFill="1" applyBorder="1" applyAlignment="1" applyProtection="1">
      <alignment horizontal="center"/>
      <protection hidden="1"/>
    </xf>
    <xf numFmtId="166" fontId="11" fillId="3" borderId="6" xfId="0" applyNumberFormat="1" applyFont="1" applyFill="1" applyBorder="1" applyAlignment="1" applyProtection="1">
      <alignment horizontal="center"/>
      <protection hidden="1"/>
    </xf>
    <xf numFmtId="0" fontId="11" fillId="3" borderId="2" xfId="0" applyFont="1" applyFill="1" applyBorder="1" applyAlignment="1" applyProtection="1">
      <alignment horizontal="center"/>
      <protection hidden="1"/>
    </xf>
    <xf numFmtId="0" fontId="3" fillId="2" borderId="26" xfId="0" quotePrefix="1" applyFont="1" applyFill="1" applyBorder="1" applyAlignment="1" applyProtection="1">
      <alignment horizontal="right" vertical="center"/>
      <protection hidden="1"/>
    </xf>
    <xf numFmtId="0" fontId="10" fillId="2" borderId="0" xfId="0" applyFont="1" applyFill="1" applyAlignment="1" applyProtection="1">
      <alignment horizontal="center"/>
      <protection hidden="1"/>
    </xf>
    <xf numFmtId="166" fontId="11" fillId="6" borderId="4" xfId="0" applyNumberFormat="1" applyFont="1" applyFill="1" applyBorder="1" applyAlignment="1" applyProtection="1">
      <alignment horizontal="left"/>
      <protection hidden="1"/>
    </xf>
    <xf numFmtId="166" fontId="11" fillId="6" borderId="6" xfId="0" applyNumberFormat="1" applyFont="1" applyFill="1" applyBorder="1" applyAlignment="1" applyProtection="1">
      <alignment horizontal="left"/>
      <protection hidden="1"/>
    </xf>
    <xf numFmtId="0" fontId="17" fillId="0" borderId="0" xfId="0" applyFont="1"/>
    <xf numFmtId="0" fontId="3" fillId="0" borderId="0" xfId="0" applyNumberFormat="1" applyFont="1" applyAlignment="1">
      <alignment horizontal="center"/>
    </xf>
    <xf numFmtId="0" fontId="11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vertical="center"/>
    </xf>
    <xf numFmtId="0" fontId="11" fillId="2" borderId="0" xfId="0" applyFont="1" applyFill="1" applyProtection="1">
      <protection hidden="1"/>
    </xf>
    <xf numFmtId="164" fontId="11" fillId="2" borderId="0" xfId="0" applyNumberFormat="1" applyFont="1" applyFill="1" applyBorder="1" applyAlignment="1" applyProtection="1">
      <alignment horizontal="center"/>
      <protection hidden="1"/>
    </xf>
    <xf numFmtId="0" fontId="11" fillId="0" borderId="0" xfId="0" applyFont="1" applyAlignment="1"/>
    <xf numFmtId="0" fontId="17" fillId="0" borderId="0" xfId="0" applyFont="1" applyAlignment="1"/>
    <xf numFmtId="167" fontId="0" fillId="0" borderId="0" xfId="0" applyNumberFormat="1"/>
    <xf numFmtId="16" fontId="0" fillId="0" borderId="0" xfId="0" applyNumberFormat="1" applyAlignment="1">
      <alignment horizont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 applyProtection="1">
      <alignment horizontal="center"/>
      <protection hidden="1"/>
    </xf>
    <xf numFmtId="0" fontId="11" fillId="0" borderId="0" xfId="0" quotePrefix="1" applyFont="1" applyFill="1" applyAlignment="1" applyProtection="1">
      <alignment horizontal="center"/>
      <protection hidden="1"/>
    </xf>
    <xf numFmtId="0" fontId="11" fillId="0" borderId="0" xfId="0" applyFont="1" applyFill="1" applyAlignment="1" applyProtection="1">
      <alignment horizontal="center"/>
      <protection hidden="1"/>
    </xf>
    <xf numFmtId="164" fontId="0" fillId="0" borderId="0" xfId="0" applyNumberFormat="1" applyFill="1" applyAlignment="1" applyProtection="1">
      <alignment horizontal="center"/>
      <protection hidden="1"/>
    </xf>
    <xf numFmtId="2" fontId="0" fillId="0" borderId="0" xfId="0" applyNumberFormat="1" applyFill="1" applyAlignment="1" applyProtection="1">
      <alignment horizontal="center"/>
      <protection hidden="1"/>
    </xf>
    <xf numFmtId="168" fontId="0" fillId="0" borderId="0" xfId="0" applyNumberFormat="1" applyFill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1" fillId="0" borderId="0" xfId="0" quotePrefix="1" applyFont="1"/>
    <xf numFmtId="0" fontId="10" fillId="8" borderId="28" xfId="0" applyFont="1" applyFill="1" applyBorder="1" applyAlignment="1" applyProtection="1">
      <alignment horizontal="center" vertical="center"/>
      <protection hidden="1"/>
    </xf>
    <xf numFmtId="0" fontId="10" fillId="8" borderId="11" xfId="0" applyFont="1" applyFill="1" applyBorder="1" applyAlignment="1" applyProtection="1">
      <alignment horizontal="center" vertical="center"/>
      <protection hidden="1"/>
    </xf>
    <xf numFmtId="0" fontId="20" fillId="2" borderId="0" xfId="0" applyFont="1" applyFill="1" applyAlignment="1" applyProtection="1">
      <alignment horizontal="center"/>
      <protection hidden="1"/>
    </xf>
    <xf numFmtId="0" fontId="13" fillId="0" borderId="0" xfId="0" applyFont="1"/>
    <xf numFmtId="0" fontId="11" fillId="0" borderId="0" xfId="0" applyFont="1" applyAlignment="1">
      <alignment horizontal="right"/>
    </xf>
    <xf numFmtId="169" fontId="0" fillId="0" borderId="0" xfId="0" applyNumberFormat="1" applyAlignment="1">
      <alignment horizontal="left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66" fontId="0" fillId="0" borderId="0" xfId="0" applyNumberFormat="1"/>
    <xf numFmtId="166" fontId="3" fillId="0" borderId="0" xfId="0" applyNumberFormat="1" applyFont="1" applyAlignment="1">
      <alignment horizontal="center"/>
    </xf>
    <xf numFmtId="166" fontId="11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1" fontId="0" fillId="2" borderId="0" xfId="0" applyNumberFormat="1" applyFill="1" applyProtection="1">
      <protection hidden="1"/>
    </xf>
    <xf numFmtId="2" fontId="0" fillId="2" borderId="0" xfId="0" applyNumberFormat="1" applyFill="1" applyAlignment="1" applyProtection="1">
      <alignment horizontal="right"/>
      <protection hidden="1"/>
    </xf>
    <xf numFmtId="1" fontId="11" fillId="0" borderId="0" xfId="0" applyNumberFormat="1" applyFont="1" applyAlignment="1">
      <alignment horizontal="center"/>
    </xf>
    <xf numFmtId="170" fontId="0" fillId="0" borderId="0" xfId="0" applyNumberFormat="1"/>
    <xf numFmtId="0" fontId="0" fillId="0" borderId="0" xfId="0" applyAlignment="1"/>
    <xf numFmtId="0" fontId="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171" fontId="0" fillId="0" borderId="0" xfId="0" applyNumberFormat="1" applyAlignment="1">
      <alignment horizontal="center"/>
    </xf>
    <xf numFmtId="171" fontId="3" fillId="0" borderId="0" xfId="0" applyNumberFormat="1" applyFont="1" applyAlignment="1">
      <alignment horizontal="center"/>
    </xf>
    <xf numFmtId="171" fontId="11" fillId="0" borderId="0" xfId="0" applyNumberFormat="1" applyFont="1" applyAlignment="1">
      <alignment horizontal="center"/>
    </xf>
    <xf numFmtId="0" fontId="22" fillId="0" borderId="0" xfId="1" applyAlignment="1"/>
    <xf numFmtId="172" fontId="0" fillId="0" borderId="0" xfId="0" applyNumberFormat="1" applyAlignment="1">
      <alignment horizontal="center"/>
    </xf>
    <xf numFmtId="0" fontId="3" fillId="3" borderId="20" xfId="0" applyFont="1" applyFill="1" applyBorder="1" applyAlignment="1" applyProtection="1">
      <alignment horizontal="center"/>
      <protection hidden="1"/>
    </xf>
    <xf numFmtId="0" fontId="3" fillId="3" borderId="21" xfId="0" applyFont="1" applyFill="1" applyBorder="1" applyAlignment="1" applyProtection="1">
      <alignment horizontal="center"/>
      <protection hidden="1"/>
    </xf>
    <xf numFmtId="0" fontId="8" fillId="6" borderId="22" xfId="0" applyFont="1" applyFill="1" applyBorder="1" applyAlignment="1" applyProtection="1">
      <alignment horizontal="center" vertical="center" textRotation="90"/>
      <protection hidden="1"/>
    </xf>
    <xf numFmtId="0" fontId="8" fillId="6" borderId="23" xfId="0" applyFont="1" applyFill="1" applyBorder="1" applyAlignment="1" applyProtection="1">
      <alignment horizontal="center" vertical="center" textRotation="90"/>
      <protection hidden="1"/>
    </xf>
    <xf numFmtId="0" fontId="8" fillId="6" borderId="24" xfId="0" applyFont="1" applyFill="1" applyBorder="1" applyAlignment="1" applyProtection="1">
      <alignment horizontal="center" vertical="center" textRotation="90"/>
      <protection hidden="1"/>
    </xf>
    <xf numFmtId="0" fontId="8" fillId="7" borderId="22" xfId="0" applyFont="1" applyFill="1" applyBorder="1" applyAlignment="1" applyProtection="1">
      <alignment horizontal="center" vertical="center" textRotation="90"/>
      <protection hidden="1"/>
    </xf>
    <xf numFmtId="0" fontId="8" fillId="7" borderId="23" xfId="0" applyFont="1" applyFill="1" applyBorder="1" applyAlignment="1" applyProtection="1">
      <alignment horizontal="center" vertical="center" textRotation="90"/>
      <protection hidden="1"/>
    </xf>
    <xf numFmtId="0" fontId="8" fillId="7" borderId="24" xfId="0" applyFont="1" applyFill="1" applyBorder="1" applyAlignment="1" applyProtection="1">
      <alignment horizontal="center" vertical="center" textRotation="90"/>
      <protection hidden="1"/>
    </xf>
    <xf numFmtId="0" fontId="13" fillId="2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0" fontId="11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164" fontId="0" fillId="0" borderId="0" xfId="0" applyNumberFormat="1" applyAlignment="1">
      <alignment vertical="center"/>
    </xf>
    <xf numFmtId="0" fontId="22" fillId="0" borderId="0" xfId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4.xml"/><Relationship Id="rId10" Type="http://schemas.openxmlformats.org/officeDocument/2006/relationships/styles" Target="styles.xml"/><Relationship Id="rId4" Type="http://schemas.openxmlformats.org/officeDocument/2006/relationships/worksheet" Target="worksheets/sheet3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Diagramme solaire </a:t>
            </a:r>
          </a:p>
        </c:rich>
      </c:tx>
      <c:layout>
        <c:manualLayout>
          <c:xMode val="edge"/>
          <c:yMode val="edge"/>
          <c:x val="0.31749957210983515"/>
          <c:y val="2.33976695399240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2.8089887640449441E-2"/>
          <c:y val="0.15568862275449102"/>
          <c:w val="0.78491171749598732"/>
          <c:h val="0.74011976047904193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Calculs!$B$21</c:f>
              <c:strCache>
                <c:ptCount val="1"/>
                <c:pt idx="0">
                  <c:v>4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dLbls>
            <c:dLbl>
              <c:idx val="4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5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Calculs!$B$35:$B$46</c:f>
              <c:numCache>
                <c:formatCode>General</c:formatCode>
                <c:ptCount val="12"/>
                <c:pt idx="0">
                  <c:v>-110.00738619431483</c:v>
                </c:pt>
                <c:pt idx="1">
                  <c:v>-113.99487918901887</c:v>
                </c:pt>
                <c:pt idx="2">
                  <c:v>-118.04402427145359</c:v>
                </c:pt>
                <c:pt idx="3">
                  <c:v>-122.0942995582744</c:v>
                </c:pt>
                <c:pt idx="4">
                  <c:v>-124.96038074373428</c:v>
                </c:pt>
                <c:pt idx="5">
                  <c:v>-126.08644004379019</c:v>
                </c:pt>
                <c:pt idx="6">
                  <c:v>-125.02119481111318</c:v>
                </c:pt>
                <c:pt idx="7">
                  <c:v>-122.11768334048071</c:v>
                </c:pt>
                <c:pt idx="8">
                  <c:v>-118.13347858306668</c:v>
                </c:pt>
                <c:pt idx="9">
                  <c:v>-113.85677062629851</c:v>
                </c:pt>
                <c:pt idx="10">
                  <c:v>-109.93959137649975</c:v>
                </c:pt>
                <c:pt idx="11">
                  <c:v>-108.29324638603161</c:v>
                </c:pt>
              </c:numCache>
            </c:numRef>
          </c:xVal>
          <c:yVal>
            <c:numRef>
              <c:f>Calculs!$B$23:$B$34</c:f>
              <c:numCache>
                <c:formatCode>General</c:formatCode>
                <c:ptCount val="12"/>
                <c:pt idx="0">
                  <c:v>-29.887005637284428</c:v>
                </c:pt>
                <c:pt idx="1">
                  <c:v>-21.209699203567631</c:v>
                </c:pt>
                <c:pt idx="2">
                  <c:v>-11.123097819904336</c:v>
                </c:pt>
                <c:pt idx="3">
                  <c:v>-0.23590044205900396</c:v>
                </c:pt>
                <c:pt idx="4">
                  <c:v>7.5288831671792833</c:v>
                </c:pt>
                <c:pt idx="5">
                  <c:v>10.516563053060224</c:v>
                </c:pt>
                <c:pt idx="6">
                  <c:v>7.6915266549543082</c:v>
                </c:pt>
                <c:pt idx="7">
                  <c:v>-0.17216973671699934</c:v>
                </c:pt>
                <c:pt idx="8">
                  <c:v>-10.888778816862009</c:v>
                </c:pt>
                <c:pt idx="9">
                  <c:v>-21.532740255811909</c:v>
                </c:pt>
                <c:pt idx="10">
                  <c:v>-30.022574479180506</c:v>
                </c:pt>
                <c:pt idx="11">
                  <c:v>-33.191099588476334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Calculs!$C$21</c:f>
              <c:strCache>
                <c:ptCount val="1"/>
                <c:pt idx="0">
                  <c:v>5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Calculs!$C$35:$C$46</c:f>
              <c:numCache>
                <c:formatCode>General</c:formatCode>
                <c:ptCount val="12"/>
                <c:pt idx="0">
                  <c:v>-95.561302369572985</c:v>
                </c:pt>
                <c:pt idx="1">
                  <c:v>-99.647846622410142</c:v>
                </c:pt>
                <c:pt idx="2">
                  <c:v>-103.95602746067919</c:v>
                </c:pt>
                <c:pt idx="3">
                  <c:v>-108.42847342184564</c:v>
                </c:pt>
                <c:pt idx="4">
                  <c:v>-111.69151213679133</c:v>
                </c:pt>
                <c:pt idx="5">
                  <c:v>-112.99541803971289</c:v>
                </c:pt>
                <c:pt idx="6">
                  <c:v>-111.76161877039027</c:v>
                </c:pt>
                <c:pt idx="7">
                  <c:v>-108.45476856524145</c:v>
                </c:pt>
                <c:pt idx="8">
                  <c:v>-104.05303961338872</c:v>
                </c:pt>
                <c:pt idx="9">
                  <c:v>-99.503748022823558</c:v>
                </c:pt>
                <c:pt idx="10">
                  <c:v>-95.49312853992727</c:v>
                </c:pt>
                <c:pt idx="11">
                  <c:v>-93.850660748438813</c:v>
                </c:pt>
              </c:numCache>
            </c:numRef>
          </c:xVal>
          <c:yVal>
            <c:numRef>
              <c:f>Calculs!$C$23:$C$34</c:f>
              <c:numCache>
                <c:formatCode>General</c:formatCode>
                <c:ptCount val="12"/>
                <c:pt idx="0">
                  <c:v>-24.082385025918441</c:v>
                </c:pt>
                <c:pt idx="1">
                  <c:v>-15.512055529894063</c:v>
                </c:pt>
                <c:pt idx="2">
                  <c:v>-5.5659413629359076</c:v>
                </c:pt>
                <c:pt idx="3">
                  <c:v>5.147625613970523</c:v>
                </c:pt>
                <c:pt idx="4">
                  <c:v>12.769152038516221</c:v>
                </c:pt>
                <c:pt idx="5">
                  <c:v>15.695885472604088</c:v>
                </c:pt>
                <c:pt idx="6">
                  <c:v>12.928571329141997</c:v>
                </c:pt>
                <c:pt idx="7">
                  <c:v>5.210256248877104</c:v>
                </c:pt>
                <c:pt idx="8">
                  <c:v>-5.3350964496072528</c:v>
                </c:pt>
                <c:pt idx="9">
                  <c:v>-15.830877205202301</c:v>
                </c:pt>
                <c:pt idx="10">
                  <c:v>-24.216397691321884</c:v>
                </c:pt>
                <c:pt idx="11">
                  <c:v>-27.349777290231966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Calculs!$D$21</c:f>
              <c:strCache>
                <c:ptCount val="1"/>
                <c:pt idx="0">
                  <c:v>6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Calculs!$D$35:$D$46</c:f>
              <c:numCache>
                <c:formatCode>General</c:formatCode>
                <c:ptCount val="12"/>
                <c:pt idx="0">
                  <c:v>-81.838615058794957</c:v>
                </c:pt>
                <c:pt idx="1">
                  <c:v>-85.80990477743633</c:v>
                </c:pt>
                <c:pt idx="2">
                  <c:v>-90.147797392356836</c:v>
                </c:pt>
                <c:pt idx="3">
                  <c:v>-94.823672200266031</c:v>
                </c:pt>
                <c:pt idx="4">
                  <c:v>-98.3489736603469</c:v>
                </c:pt>
                <c:pt idx="5">
                  <c:v>-99.78467061622473</c:v>
                </c:pt>
                <c:pt idx="6">
                  <c:v>-98.425774836960855</c:v>
                </c:pt>
                <c:pt idx="7">
                  <c:v>-94.851694950612256</c:v>
                </c:pt>
                <c:pt idx="8">
                  <c:v>-90.247331899779297</c:v>
                </c:pt>
                <c:pt idx="9">
                  <c:v>-85.667545172161141</c:v>
                </c:pt>
                <c:pt idx="10">
                  <c:v>-81.773497725278872</c:v>
                </c:pt>
                <c:pt idx="11">
                  <c:v>-80.21552589939148</c:v>
                </c:pt>
              </c:numCache>
            </c:numRef>
          </c:xVal>
          <c:yVal>
            <c:numRef>
              <c:f>Calculs!$D$23:$D$34</c:f>
              <c:numCache>
                <c:formatCode>General</c:formatCode>
                <c:ptCount val="12"/>
                <c:pt idx="0">
                  <c:v>-18.132101662285429</c:v>
                </c:pt>
                <c:pt idx="1">
                  <c:v>-9.5669797956321805</c:v>
                </c:pt>
                <c:pt idx="2">
                  <c:v>0.34092741488909467</c:v>
                </c:pt>
                <c:pt idx="3">
                  <c:v>10.977547372442187</c:v>
                </c:pt>
                <c:pt idx="4">
                  <c:v>18.518004269061866</c:v>
                </c:pt>
                <c:pt idx="5">
                  <c:v>21.406311575135522</c:v>
                </c:pt>
                <c:pt idx="6">
                  <c:v>18.675445829465236</c:v>
                </c:pt>
                <c:pt idx="7">
                  <c:v>11.039609897547612</c:v>
                </c:pt>
                <c:pt idx="8">
                  <c:v>0.57051253638274679</c:v>
                </c:pt>
                <c:pt idx="9">
                  <c:v>-9.8851129708002183</c:v>
                </c:pt>
                <c:pt idx="10">
                  <c:v>-18.266275060157309</c:v>
                </c:pt>
                <c:pt idx="11">
                  <c:v>-21.405924362846619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Calculs!$E$21</c:f>
              <c:strCache>
                <c:ptCount val="1"/>
                <c:pt idx="0">
                  <c:v>7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Calculs!$E$35:$E$46</c:f>
              <c:numCache>
                <c:formatCode>General</c:formatCode>
                <c:ptCount val="12"/>
                <c:pt idx="0">
                  <c:v>-68.479896239426111</c:v>
                </c:pt>
                <c:pt idx="1">
                  <c:v>-72.167617597029633</c:v>
                </c:pt>
                <c:pt idx="2">
                  <c:v>-76.332553526010827</c:v>
                </c:pt>
                <c:pt idx="3">
                  <c:v>-80.994821160932176</c:v>
                </c:pt>
                <c:pt idx="4">
                  <c:v>-84.635194452921667</c:v>
                </c:pt>
                <c:pt idx="5">
                  <c:v>-86.149547805250961</c:v>
                </c:pt>
                <c:pt idx="6">
                  <c:v>-84.715733798381578</c:v>
                </c:pt>
                <c:pt idx="7">
                  <c:v>-81.023326642824955</c:v>
                </c:pt>
                <c:pt idx="8">
                  <c:v>-76.429887352793514</c:v>
                </c:pt>
                <c:pt idx="9">
                  <c:v>-72.03341722386071</c:v>
                </c:pt>
                <c:pt idx="10">
                  <c:v>-68.420367979123498</c:v>
                </c:pt>
                <c:pt idx="11">
                  <c:v>-67.004759486735111</c:v>
                </c:pt>
              </c:numCache>
            </c:numRef>
          </c:xVal>
          <c:yVal>
            <c:numRef>
              <c:f>Calculs!$E$23:$E$34</c:f>
              <c:numCache>
                <c:formatCode>General</c:formatCode>
                <c:ptCount val="12"/>
                <c:pt idx="0">
                  <c:v>-12.378456071874831</c:v>
                </c:pt>
                <c:pt idx="1">
                  <c:v>-3.7245467214972985</c:v>
                </c:pt>
                <c:pt idx="2">
                  <c:v>6.2514381323010211</c:v>
                </c:pt>
                <c:pt idx="3">
                  <c:v>16.925405025863359</c:v>
                </c:pt>
                <c:pt idx="4">
                  <c:v>24.467802703017934</c:v>
                </c:pt>
                <c:pt idx="5">
                  <c:v>27.350163416229734</c:v>
                </c:pt>
                <c:pt idx="6">
                  <c:v>24.62502635984271</c:v>
                </c:pt>
                <c:pt idx="7">
                  <c:v>16.987573738571651</c:v>
                </c:pt>
                <c:pt idx="8">
                  <c:v>6.4822160543500082</c:v>
                </c:pt>
                <c:pt idx="9">
                  <c:v>-4.0454353402106946</c:v>
                </c:pt>
                <c:pt idx="10">
                  <c:v>-12.514287377329669</c:v>
                </c:pt>
                <c:pt idx="11">
                  <c:v>-15.695492791657848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Calculs!$F$21</c:f>
              <c:strCache>
                <c:ptCount val="1"/>
                <c:pt idx="0">
                  <c:v>8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Calculs!$F$35:$F$46</c:f>
              <c:numCache>
                <c:formatCode>General</c:formatCode>
                <c:ptCount val="12"/>
                <c:pt idx="0">
                  <c:v>-55.188438708754568</c:v>
                </c:pt>
                <c:pt idx="1">
                  <c:v>-58.437093240484231</c:v>
                </c:pt>
                <c:pt idx="2">
                  <c:v>-62.22251027626767</c:v>
                </c:pt>
                <c:pt idx="3">
                  <c:v>-66.622453431039062</c:v>
                </c:pt>
                <c:pt idx="4">
                  <c:v>-70.188134121409135</c:v>
                </c:pt>
                <c:pt idx="5">
                  <c:v>-71.706964258474599</c:v>
                </c:pt>
                <c:pt idx="6">
                  <c:v>-70.268375895025287</c:v>
                </c:pt>
                <c:pt idx="7">
                  <c:v>-66.649917839160906</c:v>
                </c:pt>
                <c:pt idx="8">
                  <c:v>-62.312555845465766</c:v>
                </c:pt>
                <c:pt idx="9">
                  <c:v>-58.317240431400982</c:v>
                </c:pt>
                <c:pt idx="10">
                  <c:v>-55.136734205356298</c:v>
                </c:pt>
                <c:pt idx="11">
                  <c:v>-53.913712556916806</c:v>
                </c:pt>
              </c:numCache>
            </c:numRef>
          </c:xVal>
          <c:yVal>
            <c:numRef>
              <c:f>Calculs!$F$23:$F$34</c:f>
              <c:numCache>
                <c:formatCode>General</c:formatCode>
                <c:ptCount val="12"/>
                <c:pt idx="0">
                  <c:v>-7.1303295853705899</c:v>
                </c:pt>
                <c:pt idx="1">
                  <c:v>1.683674506803448</c:v>
                </c:pt>
                <c:pt idx="2">
                  <c:v>11.818850063796425</c:v>
                </c:pt>
                <c:pt idx="3">
                  <c:v>22.641619852095033</c:v>
                </c:pt>
                <c:pt idx="4">
                  <c:v>30.276887799716587</c:v>
                </c:pt>
                <c:pt idx="5">
                  <c:v>33.191489888084355</c:v>
                </c:pt>
                <c:pt idx="6">
                  <c:v>30.435922853204083</c:v>
                </c:pt>
                <c:pt idx="7">
                  <c:v>22.704597495380387</c:v>
                </c:pt>
                <c:pt idx="8">
                  <c:v>12.053060295024174</c:v>
                </c:pt>
                <c:pt idx="9">
                  <c:v>1.3572668178001639</c:v>
                </c:pt>
                <c:pt idx="10">
                  <c:v>-7.2688856578270027</c:v>
                </c:pt>
                <c:pt idx="11">
                  <c:v>-10.516161934318294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Calculs!$G$21</c:f>
              <c:strCache>
                <c:ptCount val="1"/>
                <c:pt idx="0">
                  <c:v>9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Calculs!$G$35:$G$46</c:f>
              <c:numCache>
                <c:formatCode>General</c:formatCode>
                <c:ptCount val="12"/>
                <c:pt idx="0">
                  <c:v>-41.752297572355587</c:v>
                </c:pt>
                <c:pt idx="1">
                  <c:v>-44.401749625897182</c:v>
                </c:pt>
                <c:pt idx="2">
                  <c:v>-47.577421120044349</c:v>
                </c:pt>
                <c:pt idx="3">
                  <c:v>-51.404771392597702</c:v>
                </c:pt>
                <c:pt idx="4">
                  <c:v>-54.627140977507352</c:v>
                </c:pt>
                <c:pt idx="5">
                  <c:v>-56.035438034356673</c:v>
                </c:pt>
                <c:pt idx="6">
                  <c:v>-54.700993211007621</c:v>
                </c:pt>
                <c:pt idx="7">
                  <c:v>-51.429161375981451</c:v>
                </c:pt>
                <c:pt idx="8">
                  <c:v>-47.65422110467123</c:v>
                </c:pt>
                <c:pt idx="9">
                  <c:v>-44.30281576655058</c:v>
                </c:pt>
                <c:pt idx="10">
                  <c:v>-41.710648663198775</c:v>
                </c:pt>
                <c:pt idx="11">
                  <c:v>-40.7299458181201</c:v>
                </c:pt>
              </c:numCache>
            </c:numRef>
          </c:xVal>
          <c:yVal>
            <c:numRef>
              <c:f>Calculs!$G$23:$G$34</c:f>
              <c:numCache>
                <c:formatCode>General</c:formatCode>
                <c:ptCount val="12"/>
                <c:pt idx="0">
                  <c:v>-2.6729451522599494</c:v>
                </c:pt>
                <c:pt idx="1">
                  <c:v>6.3380351001022719</c:v>
                </c:pt>
                <c:pt idx="2">
                  <c:v>16.689909397899488</c:v>
                </c:pt>
                <c:pt idx="3">
                  <c:v>27.745666694159887</c:v>
                </c:pt>
                <c:pt idx="4">
                  <c:v>35.553429919271359</c:v>
                </c:pt>
                <c:pt idx="5">
                  <c:v>38.536727234892211</c:v>
                </c:pt>
                <c:pt idx="6">
                  <c:v>35.716167783386837</c:v>
                </c:pt>
                <c:pt idx="7">
                  <c:v>27.810030740734067</c:v>
                </c:pt>
                <c:pt idx="8">
                  <c:v>16.929097305711721</c:v>
                </c:pt>
                <c:pt idx="9">
                  <c:v>6.0045358401053006</c:v>
                </c:pt>
                <c:pt idx="10">
                  <c:v>-2.8147143104755346</c:v>
                </c:pt>
                <c:pt idx="11">
                  <c:v>-6.1386843125113142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Calculs!$H$21</c:f>
              <c:strCache>
                <c:ptCount val="1"/>
                <c:pt idx="0">
                  <c:v>10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Calculs!$H$35:$H$46</c:f>
              <c:numCache>
                <c:formatCode>General</c:formatCode>
                <c:ptCount val="12"/>
                <c:pt idx="0">
                  <c:v>-28.060069132783148</c:v>
                </c:pt>
                <c:pt idx="1">
                  <c:v>-29.948187650960936</c:v>
                </c:pt>
                <c:pt idx="2">
                  <c:v>-32.26489717898157</c:v>
                </c:pt>
                <c:pt idx="3">
                  <c:v>-35.14708269359042</c:v>
                </c:pt>
                <c:pt idx="4">
                  <c:v>-37.661741742108958</c:v>
                </c:pt>
                <c:pt idx="5">
                  <c:v>-38.788926913382682</c:v>
                </c:pt>
                <c:pt idx="6">
                  <c:v>-37.720408756797703</c:v>
                </c:pt>
                <c:pt idx="7">
                  <c:v>-35.165798144280615</c:v>
                </c:pt>
                <c:pt idx="8">
                  <c:v>-32.321717485266674</c:v>
                </c:pt>
                <c:pt idx="9">
                  <c:v>-29.876990653809063</c:v>
                </c:pt>
                <c:pt idx="10">
                  <c:v>-28.030682464629955</c:v>
                </c:pt>
                <c:pt idx="11">
                  <c:v>-27.341183152294843</c:v>
                </c:pt>
              </c:numCache>
            </c:numRef>
          </c:xVal>
          <c:yVal>
            <c:numRef>
              <c:f>Calculs!$H$23:$H$34</c:f>
              <c:numCache>
                <c:formatCode>General</c:formatCode>
                <c:ptCount val="12"/>
                <c:pt idx="0">
                  <c:v>0.73494810563745627</c:v>
                </c:pt>
                <c:pt idx="1">
                  <c:v>9.9365411610387646</c:v>
                </c:pt>
                <c:pt idx="2">
                  <c:v>20.51174780068726</c:v>
                </c:pt>
                <c:pt idx="3">
                  <c:v>31.828611266032606</c:v>
                </c:pt>
                <c:pt idx="4">
                  <c:v>39.848730761099802</c:v>
                </c:pt>
                <c:pt idx="5">
                  <c:v>42.92251069967093</c:v>
                </c:pt>
                <c:pt idx="6">
                  <c:v>40.016249889595535</c:v>
                </c:pt>
                <c:pt idx="7">
                  <c:v>31.894609219655933</c:v>
                </c:pt>
                <c:pt idx="8">
                  <c:v>20.756264054189511</c:v>
                </c:pt>
                <c:pt idx="9">
                  <c:v>9.5959925118535221</c:v>
                </c:pt>
                <c:pt idx="10">
                  <c:v>0.59015276881264445</c:v>
                </c:pt>
                <c:pt idx="11">
                  <c:v>-2.8053338707392292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Calculs!$I$21</c:f>
              <c:strCache>
                <c:ptCount val="1"/>
                <c:pt idx="0">
                  <c:v>11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Calculs!$I$35:$I$46</c:f>
              <c:numCache>
                <c:formatCode>General</c:formatCode>
                <c:ptCount val="12"/>
                <c:pt idx="0">
                  <c:v>-14.109912849099818</c:v>
                </c:pt>
                <c:pt idx="1">
                  <c:v>-15.095958509784355</c:v>
                </c:pt>
                <c:pt idx="2">
                  <c:v>-16.325116862266899</c:v>
                </c:pt>
                <c:pt idx="3">
                  <c:v>-17.889008740144554</c:v>
                </c:pt>
                <c:pt idx="4">
                  <c:v>-19.290209382363113</c:v>
                </c:pt>
                <c:pt idx="5">
                  <c:v>-19.930840986524625</c:v>
                </c:pt>
                <c:pt idx="6">
                  <c:v>-19.323351912673665</c:v>
                </c:pt>
                <c:pt idx="7">
                  <c:v>-17.899303710220288</c:v>
                </c:pt>
                <c:pt idx="8">
                  <c:v>-16.355557419048107</c:v>
                </c:pt>
                <c:pt idx="9">
                  <c:v>-15.058534899511992</c:v>
                </c:pt>
                <c:pt idx="10">
                  <c:v>-14.09466672975741</c:v>
                </c:pt>
                <c:pt idx="11">
                  <c:v>-13.737775467846429</c:v>
                </c:pt>
              </c:numCache>
            </c:numRef>
          </c:xVal>
          <c:yVal>
            <c:numRef>
              <c:f>Calculs!$I$23:$I$34</c:f>
              <c:numCache>
                <c:formatCode>General</c:formatCode>
                <c:ptCount val="12"/>
                <c:pt idx="0">
                  <c:v>2.8778069750261746</c:v>
                </c:pt>
                <c:pt idx="1">
                  <c:v>12.218170790556371</c:v>
                </c:pt>
                <c:pt idx="2">
                  <c:v>22.962799209675811</c:v>
                </c:pt>
                <c:pt idx="3">
                  <c:v>34.489117516301384</c:v>
                </c:pt>
                <c:pt idx="4">
                  <c:v>42.690754977464785</c:v>
                </c:pt>
                <c:pt idx="5">
                  <c:v>45.845515165708917</c:v>
                </c:pt>
                <c:pt idx="6">
                  <c:v>42.86249488218342</c:v>
                </c:pt>
                <c:pt idx="7">
                  <c:v>34.556470706300608</c:v>
                </c:pt>
                <c:pt idx="8">
                  <c:v>23.211458946422749</c:v>
                </c:pt>
                <c:pt idx="9">
                  <c:v>11.87240064611554</c:v>
                </c:pt>
                <c:pt idx="10">
                  <c:v>2.7308469047037236</c:v>
                </c:pt>
                <c:pt idx="11">
                  <c:v>-0.71547408792296663</c:v>
                </c:pt>
              </c:numCache>
            </c:numRef>
          </c:yVal>
          <c:smooth val="1"/>
        </c:ser>
        <c:ser>
          <c:idx val="8"/>
          <c:order val="8"/>
          <c:tx>
            <c:strRef>
              <c:f>Calculs!$J$21</c:f>
              <c:strCache>
                <c:ptCount val="1"/>
                <c:pt idx="0">
                  <c:v>12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Calculs!$J$35:$J$46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 formatCode="0.0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xVal>
          <c:yVal>
            <c:numRef>
              <c:f>Calculs!$J$23:$J$34</c:f>
              <c:numCache>
                <c:formatCode>General</c:formatCode>
                <c:ptCount val="12"/>
                <c:pt idx="0">
                  <c:v>3.6094675574606718</c:v>
                </c:pt>
                <c:pt idx="1">
                  <c:v>13.000722890838738</c:v>
                </c:pt>
                <c:pt idx="2">
                  <c:v>23.808804867298154</c:v>
                </c:pt>
                <c:pt idx="3">
                  <c:v>35.415901853001422</c:v>
                </c:pt>
                <c:pt idx="4">
                  <c:v>43.689980240074327</c:v>
                </c:pt>
                <c:pt idx="5">
                  <c:v>46.877887422773334</c:v>
                </c:pt>
                <c:pt idx="6">
                  <c:v>43.863434524750566</c:v>
                </c:pt>
                <c:pt idx="7">
                  <c:v>35.483787028725949</c:v>
                </c:pt>
                <c:pt idx="8">
                  <c:v>24.059036372466892</c:v>
                </c:pt>
                <c:pt idx="9">
                  <c:v>12.653021118067871</c:v>
                </c:pt>
                <c:pt idx="10">
                  <c:v>3.4617206458166332</c:v>
                </c:pt>
                <c:pt idx="11">
                  <c:v>-3.0191617777162675E-3</c:v>
                </c:pt>
              </c:numCache>
            </c:numRef>
          </c:yVal>
          <c:smooth val="1"/>
        </c:ser>
        <c:ser>
          <c:idx val="9"/>
          <c:order val="9"/>
          <c:tx>
            <c:strRef>
              <c:f>Calculs!$K$21</c:f>
              <c:strCache>
                <c:ptCount val="1"/>
                <c:pt idx="0">
                  <c:v>13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Calculs!$K$35:$K$46</c:f>
              <c:numCache>
                <c:formatCode>General</c:formatCode>
                <c:ptCount val="12"/>
                <c:pt idx="0">
                  <c:v>14.109912849099818</c:v>
                </c:pt>
                <c:pt idx="1">
                  <c:v>15.095958509784355</c:v>
                </c:pt>
                <c:pt idx="2">
                  <c:v>16.325116862266899</c:v>
                </c:pt>
                <c:pt idx="3">
                  <c:v>17.889008740144554</c:v>
                </c:pt>
                <c:pt idx="4">
                  <c:v>19.290209382363113</c:v>
                </c:pt>
                <c:pt idx="5">
                  <c:v>19.930840986524625</c:v>
                </c:pt>
                <c:pt idx="6">
                  <c:v>19.323351912673665</c:v>
                </c:pt>
                <c:pt idx="7">
                  <c:v>17.899303710220288</c:v>
                </c:pt>
                <c:pt idx="8">
                  <c:v>16.355557419048107</c:v>
                </c:pt>
                <c:pt idx="9">
                  <c:v>15.058534899511992</c:v>
                </c:pt>
                <c:pt idx="10">
                  <c:v>14.09466672975741</c:v>
                </c:pt>
                <c:pt idx="11">
                  <c:v>13.737775467846429</c:v>
                </c:pt>
              </c:numCache>
            </c:numRef>
          </c:xVal>
          <c:yVal>
            <c:numRef>
              <c:f>Calculs!$K$23:$K$34</c:f>
              <c:numCache>
                <c:formatCode>General</c:formatCode>
                <c:ptCount val="12"/>
                <c:pt idx="0">
                  <c:v>2.8778069750261746</c:v>
                </c:pt>
                <c:pt idx="1">
                  <c:v>12.218170790556371</c:v>
                </c:pt>
                <c:pt idx="2">
                  <c:v>22.962799209675811</c:v>
                </c:pt>
                <c:pt idx="3">
                  <c:v>34.489117516301384</c:v>
                </c:pt>
                <c:pt idx="4">
                  <c:v>42.690754977464785</c:v>
                </c:pt>
                <c:pt idx="5">
                  <c:v>45.845515165708917</c:v>
                </c:pt>
                <c:pt idx="6">
                  <c:v>42.86249488218342</c:v>
                </c:pt>
                <c:pt idx="7">
                  <c:v>34.556470706300608</c:v>
                </c:pt>
                <c:pt idx="8">
                  <c:v>23.211458946422749</c:v>
                </c:pt>
                <c:pt idx="9">
                  <c:v>11.87240064611554</c:v>
                </c:pt>
                <c:pt idx="10">
                  <c:v>2.7308469047037236</c:v>
                </c:pt>
                <c:pt idx="11">
                  <c:v>-0.71547408792296663</c:v>
                </c:pt>
              </c:numCache>
            </c:numRef>
          </c:yVal>
          <c:smooth val="1"/>
        </c:ser>
        <c:ser>
          <c:idx val="10"/>
          <c:order val="10"/>
          <c:tx>
            <c:strRef>
              <c:f>Calculs!$L$21</c:f>
              <c:strCache>
                <c:ptCount val="1"/>
                <c:pt idx="0">
                  <c:v>14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Calculs!$L$35:$L$46</c:f>
              <c:numCache>
                <c:formatCode>General</c:formatCode>
                <c:ptCount val="12"/>
                <c:pt idx="0">
                  <c:v>28.060069132783148</c:v>
                </c:pt>
                <c:pt idx="1">
                  <c:v>29.948187650960936</c:v>
                </c:pt>
                <c:pt idx="2">
                  <c:v>32.26489717898157</c:v>
                </c:pt>
                <c:pt idx="3">
                  <c:v>35.14708269359042</c:v>
                </c:pt>
                <c:pt idx="4">
                  <c:v>37.661741742108958</c:v>
                </c:pt>
                <c:pt idx="5">
                  <c:v>38.788926913382682</c:v>
                </c:pt>
                <c:pt idx="6">
                  <c:v>37.720408756797703</c:v>
                </c:pt>
                <c:pt idx="7">
                  <c:v>35.165798144280615</c:v>
                </c:pt>
                <c:pt idx="8">
                  <c:v>32.321717485266674</c:v>
                </c:pt>
                <c:pt idx="9">
                  <c:v>29.876990653809063</c:v>
                </c:pt>
                <c:pt idx="10">
                  <c:v>28.030682464629955</c:v>
                </c:pt>
                <c:pt idx="11">
                  <c:v>27.341183152294843</c:v>
                </c:pt>
              </c:numCache>
            </c:numRef>
          </c:xVal>
          <c:yVal>
            <c:numRef>
              <c:f>Calculs!$L$23:$L$34</c:f>
              <c:numCache>
                <c:formatCode>General</c:formatCode>
                <c:ptCount val="12"/>
                <c:pt idx="0">
                  <c:v>0.73494810563745627</c:v>
                </c:pt>
                <c:pt idx="1">
                  <c:v>9.9365411610387646</c:v>
                </c:pt>
                <c:pt idx="2">
                  <c:v>20.51174780068726</c:v>
                </c:pt>
                <c:pt idx="3">
                  <c:v>31.828611266032606</c:v>
                </c:pt>
                <c:pt idx="4">
                  <c:v>39.848730761099802</c:v>
                </c:pt>
                <c:pt idx="5">
                  <c:v>42.92251069967093</c:v>
                </c:pt>
                <c:pt idx="6">
                  <c:v>40.016249889595535</c:v>
                </c:pt>
                <c:pt idx="7">
                  <c:v>31.894609219655933</c:v>
                </c:pt>
                <c:pt idx="8">
                  <c:v>20.756264054189511</c:v>
                </c:pt>
                <c:pt idx="9">
                  <c:v>9.5959925118535221</c:v>
                </c:pt>
                <c:pt idx="10">
                  <c:v>0.59015276881264445</c:v>
                </c:pt>
                <c:pt idx="11">
                  <c:v>-2.8053338707392292</c:v>
                </c:pt>
              </c:numCache>
            </c:numRef>
          </c:yVal>
          <c:smooth val="1"/>
        </c:ser>
        <c:ser>
          <c:idx val="11"/>
          <c:order val="11"/>
          <c:tx>
            <c:strRef>
              <c:f>Calculs!$M$21</c:f>
              <c:strCache>
                <c:ptCount val="1"/>
                <c:pt idx="0">
                  <c:v>15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Calculs!$M$35:$M$46</c:f>
              <c:numCache>
                <c:formatCode>General</c:formatCode>
                <c:ptCount val="12"/>
                <c:pt idx="0">
                  <c:v>41.752297572355587</c:v>
                </c:pt>
                <c:pt idx="1">
                  <c:v>44.401749625897182</c:v>
                </c:pt>
                <c:pt idx="2">
                  <c:v>47.577421120044349</c:v>
                </c:pt>
                <c:pt idx="3">
                  <c:v>51.404771392597702</c:v>
                </c:pt>
                <c:pt idx="4">
                  <c:v>54.627140977507352</c:v>
                </c:pt>
                <c:pt idx="5">
                  <c:v>56.035438034356673</c:v>
                </c:pt>
                <c:pt idx="6">
                  <c:v>54.700993211007621</c:v>
                </c:pt>
                <c:pt idx="7">
                  <c:v>51.429161375981451</c:v>
                </c:pt>
                <c:pt idx="8">
                  <c:v>47.65422110467123</c:v>
                </c:pt>
                <c:pt idx="9">
                  <c:v>44.30281576655058</c:v>
                </c:pt>
                <c:pt idx="10">
                  <c:v>41.710648663198775</c:v>
                </c:pt>
                <c:pt idx="11">
                  <c:v>40.7299458181201</c:v>
                </c:pt>
              </c:numCache>
            </c:numRef>
          </c:xVal>
          <c:yVal>
            <c:numRef>
              <c:f>Calculs!$M$23:$M$34</c:f>
              <c:numCache>
                <c:formatCode>General</c:formatCode>
                <c:ptCount val="12"/>
                <c:pt idx="0">
                  <c:v>-2.6729451522599494</c:v>
                </c:pt>
                <c:pt idx="1">
                  <c:v>6.3380351001022719</c:v>
                </c:pt>
                <c:pt idx="2">
                  <c:v>16.689909397899488</c:v>
                </c:pt>
                <c:pt idx="3">
                  <c:v>27.745666694159887</c:v>
                </c:pt>
                <c:pt idx="4">
                  <c:v>35.553429919271359</c:v>
                </c:pt>
                <c:pt idx="5">
                  <c:v>38.536727234892211</c:v>
                </c:pt>
                <c:pt idx="6">
                  <c:v>35.716167783386837</c:v>
                </c:pt>
                <c:pt idx="7">
                  <c:v>27.810030740734067</c:v>
                </c:pt>
                <c:pt idx="8">
                  <c:v>16.929097305711721</c:v>
                </c:pt>
                <c:pt idx="9">
                  <c:v>6.0045358401053006</c:v>
                </c:pt>
                <c:pt idx="10">
                  <c:v>-2.8147143104755346</c:v>
                </c:pt>
                <c:pt idx="11">
                  <c:v>-6.1386843125113142</c:v>
                </c:pt>
              </c:numCache>
            </c:numRef>
          </c:yVal>
          <c:smooth val="1"/>
        </c:ser>
        <c:ser>
          <c:idx val="12"/>
          <c:order val="12"/>
          <c:tx>
            <c:strRef>
              <c:f>Calculs!$N$21</c:f>
              <c:strCache>
                <c:ptCount val="1"/>
                <c:pt idx="0">
                  <c:v>16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dLbl>
              <c:idx val="4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5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Calculs!$N$35:$N$46</c:f>
              <c:numCache>
                <c:formatCode>General</c:formatCode>
                <c:ptCount val="12"/>
                <c:pt idx="0">
                  <c:v>55.188438708754568</c:v>
                </c:pt>
                <c:pt idx="1">
                  <c:v>58.437093240484231</c:v>
                </c:pt>
                <c:pt idx="2">
                  <c:v>62.22251027626767</c:v>
                </c:pt>
                <c:pt idx="3">
                  <c:v>66.622453431039062</c:v>
                </c:pt>
                <c:pt idx="4">
                  <c:v>70.188134121409135</c:v>
                </c:pt>
                <c:pt idx="5">
                  <c:v>71.706964258474599</c:v>
                </c:pt>
                <c:pt idx="6">
                  <c:v>70.268375895025287</c:v>
                </c:pt>
                <c:pt idx="7">
                  <c:v>66.649917839160906</c:v>
                </c:pt>
                <c:pt idx="8">
                  <c:v>62.312555845465766</c:v>
                </c:pt>
                <c:pt idx="9">
                  <c:v>58.317240431400982</c:v>
                </c:pt>
                <c:pt idx="10">
                  <c:v>55.136734205356298</c:v>
                </c:pt>
                <c:pt idx="11">
                  <c:v>53.913712556916806</c:v>
                </c:pt>
              </c:numCache>
            </c:numRef>
          </c:xVal>
          <c:yVal>
            <c:numRef>
              <c:f>Calculs!$N$23:$N$34</c:f>
              <c:numCache>
                <c:formatCode>General</c:formatCode>
                <c:ptCount val="12"/>
                <c:pt idx="0">
                  <c:v>-7.1303295853705899</c:v>
                </c:pt>
                <c:pt idx="1">
                  <c:v>1.683674506803448</c:v>
                </c:pt>
                <c:pt idx="2">
                  <c:v>11.818850063796425</c:v>
                </c:pt>
                <c:pt idx="3">
                  <c:v>22.641619852095033</c:v>
                </c:pt>
                <c:pt idx="4">
                  <c:v>30.276887799716587</c:v>
                </c:pt>
                <c:pt idx="5">
                  <c:v>33.191489888084355</c:v>
                </c:pt>
                <c:pt idx="6">
                  <c:v>30.435922853204083</c:v>
                </c:pt>
                <c:pt idx="7">
                  <c:v>22.704597495380387</c:v>
                </c:pt>
                <c:pt idx="8">
                  <c:v>12.053060295024174</c:v>
                </c:pt>
                <c:pt idx="9">
                  <c:v>1.3572668178001639</c:v>
                </c:pt>
                <c:pt idx="10">
                  <c:v>-7.2688856578270027</c:v>
                </c:pt>
                <c:pt idx="11">
                  <c:v>-10.516161934318294</c:v>
                </c:pt>
              </c:numCache>
            </c:numRef>
          </c:yVal>
          <c:smooth val="1"/>
        </c:ser>
        <c:ser>
          <c:idx val="25"/>
          <c:order val="13"/>
          <c:tx>
            <c:strRef>
              <c:f>Calculs!$O$21</c:f>
              <c:strCache>
                <c:ptCount val="1"/>
                <c:pt idx="0">
                  <c:v>17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2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Calculs!$O$35:$O$46</c:f>
              <c:numCache>
                <c:formatCode>General</c:formatCode>
                <c:ptCount val="12"/>
                <c:pt idx="0">
                  <c:v>68.479896239426111</c:v>
                </c:pt>
                <c:pt idx="1">
                  <c:v>72.167617597029633</c:v>
                </c:pt>
                <c:pt idx="2">
                  <c:v>76.332553526010827</c:v>
                </c:pt>
                <c:pt idx="3">
                  <c:v>80.994821160932176</c:v>
                </c:pt>
                <c:pt idx="4">
                  <c:v>84.635194452921667</c:v>
                </c:pt>
                <c:pt idx="5">
                  <c:v>86.149547805250961</c:v>
                </c:pt>
                <c:pt idx="6">
                  <c:v>84.715733798381578</c:v>
                </c:pt>
                <c:pt idx="7">
                  <c:v>81.023326642824955</c:v>
                </c:pt>
                <c:pt idx="8">
                  <c:v>76.429887352793514</c:v>
                </c:pt>
                <c:pt idx="9">
                  <c:v>72.03341722386071</c:v>
                </c:pt>
                <c:pt idx="10">
                  <c:v>68.420367979123498</c:v>
                </c:pt>
                <c:pt idx="11">
                  <c:v>67.004759486735111</c:v>
                </c:pt>
              </c:numCache>
            </c:numRef>
          </c:xVal>
          <c:yVal>
            <c:numRef>
              <c:f>Calculs!$O$23:$O$34</c:f>
              <c:numCache>
                <c:formatCode>General</c:formatCode>
                <c:ptCount val="12"/>
                <c:pt idx="0">
                  <c:v>-12.378456071874831</c:v>
                </c:pt>
                <c:pt idx="1">
                  <c:v>-3.7245467214972985</c:v>
                </c:pt>
                <c:pt idx="2">
                  <c:v>6.2514381323010211</c:v>
                </c:pt>
                <c:pt idx="3">
                  <c:v>16.925405025863359</c:v>
                </c:pt>
                <c:pt idx="4">
                  <c:v>24.467802703017934</c:v>
                </c:pt>
                <c:pt idx="5">
                  <c:v>27.350163416229734</c:v>
                </c:pt>
                <c:pt idx="6">
                  <c:v>24.62502635984271</c:v>
                </c:pt>
                <c:pt idx="7">
                  <c:v>16.987573738571651</c:v>
                </c:pt>
                <c:pt idx="8">
                  <c:v>6.4822160543500082</c:v>
                </c:pt>
                <c:pt idx="9">
                  <c:v>-4.0454353402106946</c:v>
                </c:pt>
                <c:pt idx="10">
                  <c:v>-12.514287377329669</c:v>
                </c:pt>
                <c:pt idx="11">
                  <c:v>-15.695492791657848</c:v>
                </c:pt>
              </c:numCache>
            </c:numRef>
          </c:yVal>
          <c:smooth val="1"/>
        </c:ser>
        <c:ser>
          <c:idx val="26"/>
          <c:order val="14"/>
          <c:tx>
            <c:strRef>
              <c:f>Calculs!$P$21</c:f>
              <c:strCache>
                <c:ptCount val="1"/>
                <c:pt idx="0">
                  <c:v>18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2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Calculs!$P$35:$P$46</c:f>
              <c:numCache>
                <c:formatCode>General</c:formatCode>
                <c:ptCount val="12"/>
                <c:pt idx="0">
                  <c:v>81.838615058794957</c:v>
                </c:pt>
                <c:pt idx="1">
                  <c:v>85.80990477743633</c:v>
                </c:pt>
                <c:pt idx="2">
                  <c:v>90.147797392356836</c:v>
                </c:pt>
                <c:pt idx="3">
                  <c:v>94.823672200266031</c:v>
                </c:pt>
                <c:pt idx="4">
                  <c:v>98.3489736603469</c:v>
                </c:pt>
                <c:pt idx="5">
                  <c:v>99.78467061622473</c:v>
                </c:pt>
                <c:pt idx="6">
                  <c:v>98.425774836960855</c:v>
                </c:pt>
                <c:pt idx="7">
                  <c:v>94.851694950612256</c:v>
                </c:pt>
                <c:pt idx="8">
                  <c:v>90.247331899779297</c:v>
                </c:pt>
                <c:pt idx="9">
                  <c:v>85.667545172161141</c:v>
                </c:pt>
                <c:pt idx="10">
                  <c:v>81.773497725278872</c:v>
                </c:pt>
                <c:pt idx="11">
                  <c:v>80.21552589939148</c:v>
                </c:pt>
              </c:numCache>
            </c:numRef>
          </c:xVal>
          <c:yVal>
            <c:numRef>
              <c:f>Calculs!$P$23:$P$34</c:f>
              <c:numCache>
                <c:formatCode>General</c:formatCode>
                <c:ptCount val="12"/>
                <c:pt idx="0">
                  <c:v>-18.132101662285429</c:v>
                </c:pt>
                <c:pt idx="1">
                  <c:v>-9.5669797956321805</c:v>
                </c:pt>
                <c:pt idx="2">
                  <c:v>0.34092741488909467</c:v>
                </c:pt>
                <c:pt idx="3">
                  <c:v>10.977547372442187</c:v>
                </c:pt>
                <c:pt idx="4">
                  <c:v>18.518004269061866</c:v>
                </c:pt>
                <c:pt idx="5">
                  <c:v>21.406311575135522</c:v>
                </c:pt>
                <c:pt idx="6">
                  <c:v>18.675445829465236</c:v>
                </c:pt>
                <c:pt idx="7">
                  <c:v>11.039609897547612</c:v>
                </c:pt>
                <c:pt idx="8">
                  <c:v>0.57051253638274679</c:v>
                </c:pt>
                <c:pt idx="9">
                  <c:v>-9.8851129708002183</c:v>
                </c:pt>
                <c:pt idx="10">
                  <c:v>-18.266275060157309</c:v>
                </c:pt>
                <c:pt idx="11">
                  <c:v>-21.405924362846619</c:v>
                </c:pt>
              </c:numCache>
            </c:numRef>
          </c:yVal>
          <c:smooth val="1"/>
        </c:ser>
        <c:ser>
          <c:idx val="27"/>
          <c:order val="15"/>
          <c:tx>
            <c:strRef>
              <c:f>Calculs!$Q$21</c:f>
              <c:strCache>
                <c:ptCount val="1"/>
                <c:pt idx="0">
                  <c:v>19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Calculs!$Q$35:$Q$46</c:f>
              <c:numCache>
                <c:formatCode>General</c:formatCode>
                <c:ptCount val="12"/>
                <c:pt idx="0">
                  <c:v>95.561302369572985</c:v>
                </c:pt>
                <c:pt idx="1">
                  <c:v>99.647846622410142</c:v>
                </c:pt>
                <c:pt idx="2">
                  <c:v>103.95602746067919</c:v>
                </c:pt>
                <c:pt idx="3">
                  <c:v>108.42847342184564</c:v>
                </c:pt>
                <c:pt idx="4">
                  <c:v>111.69151213679133</c:v>
                </c:pt>
                <c:pt idx="5">
                  <c:v>112.99541803971289</c:v>
                </c:pt>
                <c:pt idx="6">
                  <c:v>111.76161877039027</c:v>
                </c:pt>
                <c:pt idx="7">
                  <c:v>108.45476856524145</c:v>
                </c:pt>
                <c:pt idx="8">
                  <c:v>104.05303961338872</c:v>
                </c:pt>
                <c:pt idx="9">
                  <c:v>99.503748022823558</c:v>
                </c:pt>
                <c:pt idx="10">
                  <c:v>95.49312853992727</c:v>
                </c:pt>
                <c:pt idx="11">
                  <c:v>93.850660748438813</c:v>
                </c:pt>
              </c:numCache>
            </c:numRef>
          </c:xVal>
          <c:yVal>
            <c:numRef>
              <c:f>Calculs!$Q$23:$Q$34</c:f>
              <c:numCache>
                <c:formatCode>General</c:formatCode>
                <c:ptCount val="12"/>
                <c:pt idx="0">
                  <c:v>-24.082385025918441</c:v>
                </c:pt>
                <c:pt idx="1">
                  <c:v>-15.512055529894063</c:v>
                </c:pt>
                <c:pt idx="2">
                  <c:v>-5.5659413629359076</c:v>
                </c:pt>
                <c:pt idx="3">
                  <c:v>5.147625613970523</c:v>
                </c:pt>
                <c:pt idx="4">
                  <c:v>12.769152038516221</c:v>
                </c:pt>
                <c:pt idx="5">
                  <c:v>15.695885472604088</c:v>
                </c:pt>
                <c:pt idx="6">
                  <c:v>12.928571329141997</c:v>
                </c:pt>
                <c:pt idx="7">
                  <c:v>5.210256248877104</c:v>
                </c:pt>
                <c:pt idx="8">
                  <c:v>-5.3350964496072528</c:v>
                </c:pt>
                <c:pt idx="9">
                  <c:v>-15.830877205202301</c:v>
                </c:pt>
                <c:pt idx="10">
                  <c:v>-24.216397691321884</c:v>
                </c:pt>
                <c:pt idx="11">
                  <c:v>-27.349777290231966</c:v>
                </c:pt>
              </c:numCache>
            </c:numRef>
          </c:yVal>
          <c:smooth val="1"/>
        </c:ser>
        <c:ser>
          <c:idx val="28"/>
          <c:order val="16"/>
          <c:tx>
            <c:strRef>
              <c:f>Calculs!$R$21</c:f>
              <c:strCache>
                <c:ptCount val="1"/>
                <c:pt idx="0">
                  <c:v>20</c:v>
                </c:pt>
              </c:strCache>
            </c:strRef>
          </c:tx>
          <c:spPr>
            <a:ln w="12700">
              <a:solidFill>
                <a:srgbClr val="993300"/>
              </a:solidFill>
              <a:prstDash val="solid"/>
            </a:ln>
          </c:spPr>
          <c:marker>
            <c:symbol val="none"/>
          </c:marker>
          <c:xVal>
            <c:numRef>
              <c:f>Calculs!$R$35:$R$46</c:f>
              <c:numCache>
                <c:formatCode>General</c:formatCode>
                <c:ptCount val="12"/>
                <c:pt idx="0">
                  <c:v>110.00738619431483</c:v>
                </c:pt>
                <c:pt idx="1">
                  <c:v>113.99487918901887</c:v>
                </c:pt>
                <c:pt idx="2">
                  <c:v>118.04402427145359</c:v>
                </c:pt>
                <c:pt idx="3">
                  <c:v>122.0942995582744</c:v>
                </c:pt>
                <c:pt idx="4">
                  <c:v>124.96038074373428</c:v>
                </c:pt>
                <c:pt idx="5">
                  <c:v>126.08644004379019</c:v>
                </c:pt>
                <c:pt idx="6">
                  <c:v>125.02119481111318</c:v>
                </c:pt>
                <c:pt idx="7">
                  <c:v>122.11768334048071</c:v>
                </c:pt>
                <c:pt idx="8">
                  <c:v>118.13347858306668</c:v>
                </c:pt>
                <c:pt idx="9">
                  <c:v>113.85677062629851</c:v>
                </c:pt>
                <c:pt idx="10">
                  <c:v>109.93959137649975</c:v>
                </c:pt>
                <c:pt idx="11">
                  <c:v>108.29324638603161</c:v>
                </c:pt>
              </c:numCache>
            </c:numRef>
          </c:xVal>
          <c:yVal>
            <c:numRef>
              <c:f>Calculs!$R$23:$R$34</c:f>
              <c:numCache>
                <c:formatCode>General</c:formatCode>
                <c:ptCount val="12"/>
                <c:pt idx="0">
                  <c:v>-29.887005637284428</c:v>
                </c:pt>
                <c:pt idx="1">
                  <c:v>-21.209699203567631</c:v>
                </c:pt>
                <c:pt idx="2">
                  <c:v>-11.123097819904336</c:v>
                </c:pt>
                <c:pt idx="3">
                  <c:v>-0.23590044205900396</c:v>
                </c:pt>
                <c:pt idx="4">
                  <c:v>7.5288831671792833</c:v>
                </c:pt>
                <c:pt idx="5">
                  <c:v>10.516563053060224</c:v>
                </c:pt>
                <c:pt idx="6">
                  <c:v>7.6915266549543082</c:v>
                </c:pt>
                <c:pt idx="7">
                  <c:v>-0.17216973671699934</c:v>
                </c:pt>
                <c:pt idx="8">
                  <c:v>-10.888778816862009</c:v>
                </c:pt>
                <c:pt idx="9">
                  <c:v>-21.532740255811909</c:v>
                </c:pt>
                <c:pt idx="10">
                  <c:v>-30.022574479180506</c:v>
                </c:pt>
                <c:pt idx="11">
                  <c:v>-33.191099588476334</c:v>
                </c:pt>
              </c:numCache>
            </c:numRef>
          </c:yVal>
          <c:smooth val="1"/>
        </c:ser>
        <c:ser>
          <c:idx val="13"/>
          <c:order val="17"/>
          <c:tx>
            <c:strRef>
              <c:f>Calculs!$A$23</c:f>
              <c:strCache>
                <c:ptCount val="1"/>
                <c:pt idx="0">
                  <c:v>21-janv.</c:v>
                </c:pt>
              </c:strCache>
            </c:strRef>
          </c:tx>
          <c:spPr>
            <a:ln w="25400">
              <a:solidFill>
                <a:srgbClr val="800000"/>
              </a:solidFill>
              <a:prstDash val="solid"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2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Calculs!$B$35:$R$35</c:f>
              <c:numCache>
                <c:formatCode>General</c:formatCode>
                <c:ptCount val="17"/>
                <c:pt idx="0">
                  <c:v>-110.00738619431483</c:v>
                </c:pt>
                <c:pt idx="1">
                  <c:v>-95.561302369572985</c:v>
                </c:pt>
                <c:pt idx="2">
                  <c:v>-81.838615058794957</c:v>
                </c:pt>
                <c:pt idx="3">
                  <c:v>-68.479896239426111</c:v>
                </c:pt>
                <c:pt idx="4">
                  <c:v>-55.188438708754568</c:v>
                </c:pt>
                <c:pt idx="5">
                  <c:v>-41.752297572355587</c:v>
                </c:pt>
                <c:pt idx="6">
                  <c:v>-28.060069132783148</c:v>
                </c:pt>
                <c:pt idx="7">
                  <c:v>-14.109912849099818</c:v>
                </c:pt>
                <c:pt idx="8">
                  <c:v>0</c:v>
                </c:pt>
                <c:pt idx="9">
                  <c:v>14.109912849099818</c:v>
                </c:pt>
                <c:pt idx="10">
                  <c:v>28.060069132783148</c:v>
                </c:pt>
                <c:pt idx="11">
                  <c:v>41.752297572355587</c:v>
                </c:pt>
                <c:pt idx="12">
                  <c:v>55.188438708754568</c:v>
                </c:pt>
                <c:pt idx="13">
                  <c:v>68.479896239426111</c:v>
                </c:pt>
                <c:pt idx="14">
                  <c:v>81.838615058794957</c:v>
                </c:pt>
                <c:pt idx="15">
                  <c:v>95.561302369572985</c:v>
                </c:pt>
                <c:pt idx="16">
                  <c:v>110.00738619431483</c:v>
                </c:pt>
              </c:numCache>
            </c:numRef>
          </c:xVal>
          <c:yVal>
            <c:numRef>
              <c:f>Calculs!$B$23:$R$23</c:f>
              <c:numCache>
                <c:formatCode>General</c:formatCode>
                <c:ptCount val="17"/>
                <c:pt idx="0">
                  <c:v>-29.887005637284428</c:v>
                </c:pt>
                <c:pt idx="1">
                  <c:v>-24.082385025918441</c:v>
                </c:pt>
                <c:pt idx="2">
                  <c:v>-18.132101662285429</c:v>
                </c:pt>
                <c:pt idx="3">
                  <c:v>-12.378456071874831</c:v>
                </c:pt>
                <c:pt idx="4">
                  <c:v>-7.1303295853705899</c:v>
                </c:pt>
                <c:pt idx="5">
                  <c:v>-2.6729451522599494</c:v>
                </c:pt>
                <c:pt idx="6">
                  <c:v>0.73494810563745627</c:v>
                </c:pt>
                <c:pt idx="7">
                  <c:v>2.8778069750261746</c:v>
                </c:pt>
                <c:pt idx="8">
                  <c:v>3.6094675574606718</c:v>
                </c:pt>
                <c:pt idx="9">
                  <c:v>2.8778069750261746</c:v>
                </c:pt>
                <c:pt idx="10">
                  <c:v>0.73494810563745627</c:v>
                </c:pt>
                <c:pt idx="11">
                  <c:v>-2.6729451522599494</c:v>
                </c:pt>
                <c:pt idx="12">
                  <c:v>-7.1303295853705899</c:v>
                </c:pt>
                <c:pt idx="13">
                  <c:v>-12.378456071874831</c:v>
                </c:pt>
                <c:pt idx="14">
                  <c:v>-18.132101662285429</c:v>
                </c:pt>
                <c:pt idx="15">
                  <c:v>-24.082385025918441</c:v>
                </c:pt>
                <c:pt idx="16">
                  <c:v>-29.887005637284428</c:v>
                </c:pt>
              </c:numCache>
            </c:numRef>
          </c:yVal>
          <c:smooth val="1"/>
        </c:ser>
        <c:ser>
          <c:idx val="14"/>
          <c:order val="18"/>
          <c:tx>
            <c:strRef>
              <c:f>Calculs!$A$24</c:f>
              <c:strCache>
                <c:ptCount val="1"/>
                <c:pt idx="0">
                  <c:v>21-févr.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2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Calculs!$B$36:$R$36</c:f>
              <c:numCache>
                <c:formatCode>General</c:formatCode>
                <c:ptCount val="17"/>
                <c:pt idx="0">
                  <c:v>-113.99487918901887</c:v>
                </c:pt>
                <c:pt idx="1">
                  <c:v>-99.647846622410142</c:v>
                </c:pt>
                <c:pt idx="2">
                  <c:v>-85.80990477743633</c:v>
                </c:pt>
                <c:pt idx="3">
                  <c:v>-72.167617597029633</c:v>
                </c:pt>
                <c:pt idx="4">
                  <c:v>-58.437093240484231</c:v>
                </c:pt>
                <c:pt idx="5">
                  <c:v>-44.401749625897182</c:v>
                </c:pt>
                <c:pt idx="6">
                  <c:v>-29.948187650960936</c:v>
                </c:pt>
                <c:pt idx="7">
                  <c:v>-15.095958509784355</c:v>
                </c:pt>
                <c:pt idx="8">
                  <c:v>0</c:v>
                </c:pt>
                <c:pt idx="9">
                  <c:v>15.095958509784355</c:v>
                </c:pt>
                <c:pt idx="10">
                  <c:v>29.948187650960936</c:v>
                </c:pt>
                <c:pt idx="11">
                  <c:v>44.401749625897182</c:v>
                </c:pt>
                <c:pt idx="12">
                  <c:v>58.437093240484231</c:v>
                </c:pt>
                <c:pt idx="13">
                  <c:v>72.167617597029633</c:v>
                </c:pt>
                <c:pt idx="14">
                  <c:v>85.80990477743633</c:v>
                </c:pt>
                <c:pt idx="15">
                  <c:v>99.647846622410142</c:v>
                </c:pt>
                <c:pt idx="16">
                  <c:v>113.99487918901887</c:v>
                </c:pt>
              </c:numCache>
            </c:numRef>
          </c:xVal>
          <c:yVal>
            <c:numRef>
              <c:f>Calculs!$B$24:$R$24</c:f>
              <c:numCache>
                <c:formatCode>General</c:formatCode>
                <c:ptCount val="17"/>
                <c:pt idx="0">
                  <c:v>-21.209699203567631</c:v>
                </c:pt>
                <c:pt idx="1">
                  <c:v>-15.512055529894063</c:v>
                </c:pt>
                <c:pt idx="2">
                  <c:v>-9.5669797956321805</c:v>
                </c:pt>
                <c:pt idx="3">
                  <c:v>-3.7245467214972985</c:v>
                </c:pt>
                <c:pt idx="4">
                  <c:v>1.683674506803448</c:v>
                </c:pt>
                <c:pt idx="5">
                  <c:v>6.3380351001022719</c:v>
                </c:pt>
                <c:pt idx="6">
                  <c:v>9.9365411610387646</c:v>
                </c:pt>
                <c:pt idx="7">
                  <c:v>12.218170790556371</c:v>
                </c:pt>
                <c:pt idx="8">
                  <c:v>13.000722890838738</c:v>
                </c:pt>
                <c:pt idx="9">
                  <c:v>12.218170790556371</c:v>
                </c:pt>
                <c:pt idx="10">
                  <c:v>9.9365411610387646</c:v>
                </c:pt>
                <c:pt idx="11">
                  <c:v>6.3380351001022719</c:v>
                </c:pt>
                <c:pt idx="12">
                  <c:v>1.683674506803448</c:v>
                </c:pt>
                <c:pt idx="13">
                  <c:v>-3.7245467214972985</c:v>
                </c:pt>
                <c:pt idx="14">
                  <c:v>-9.5669797956321805</c:v>
                </c:pt>
                <c:pt idx="15">
                  <c:v>-15.512055529894063</c:v>
                </c:pt>
                <c:pt idx="16">
                  <c:v>-21.209699203567631</c:v>
                </c:pt>
              </c:numCache>
            </c:numRef>
          </c:yVal>
          <c:smooth val="1"/>
        </c:ser>
        <c:ser>
          <c:idx val="15"/>
          <c:order val="19"/>
          <c:tx>
            <c:strRef>
              <c:f>Calculs!$A$25</c:f>
              <c:strCache>
                <c:ptCount val="1"/>
                <c:pt idx="0">
                  <c:v>21-mars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2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Calculs!$B$37:$R$37</c:f>
              <c:numCache>
                <c:formatCode>General</c:formatCode>
                <c:ptCount val="17"/>
                <c:pt idx="0">
                  <c:v>-118.04402427145359</c:v>
                </c:pt>
                <c:pt idx="1">
                  <c:v>-103.95602746067919</c:v>
                </c:pt>
                <c:pt idx="2">
                  <c:v>-90.147797392356836</c:v>
                </c:pt>
                <c:pt idx="3">
                  <c:v>-76.332553526010827</c:v>
                </c:pt>
                <c:pt idx="4">
                  <c:v>-62.22251027626767</c:v>
                </c:pt>
                <c:pt idx="5">
                  <c:v>-47.577421120044349</c:v>
                </c:pt>
                <c:pt idx="6">
                  <c:v>-32.26489717898157</c:v>
                </c:pt>
                <c:pt idx="7">
                  <c:v>-16.325116862266899</c:v>
                </c:pt>
                <c:pt idx="8">
                  <c:v>0</c:v>
                </c:pt>
                <c:pt idx="9">
                  <c:v>16.325116862266899</c:v>
                </c:pt>
                <c:pt idx="10">
                  <c:v>32.26489717898157</c:v>
                </c:pt>
                <c:pt idx="11">
                  <c:v>47.577421120044349</c:v>
                </c:pt>
                <c:pt idx="12">
                  <c:v>62.22251027626767</c:v>
                </c:pt>
                <c:pt idx="13">
                  <c:v>76.332553526010827</c:v>
                </c:pt>
                <c:pt idx="14">
                  <c:v>90.147797392356836</c:v>
                </c:pt>
                <c:pt idx="15">
                  <c:v>103.95602746067919</c:v>
                </c:pt>
                <c:pt idx="16">
                  <c:v>118.04402427145359</c:v>
                </c:pt>
              </c:numCache>
            </c:numRef>
          </c:xVal>
          <c:yVal>
            <c:numRef>
              <c:f>Calculs!$B$25:$R$25</c:f>
              <c:numCache>
                <c:formatCode>General</c:formatCode>
                <c:ptCount val="17"/>
                <c:pt idx="0">
                  <c:v>-11.123097819904336</c:v>
                </c:pt>
                <c:pt idx="1">
                  <c:v>-5.5659413629359076</c:v>
                </c:pt>
                <c:pt idx="2">
                  <c:v>0.34092741488909467</c:v>
                </c:pt>
                <c:pt idx="3">
                  <c:v>6.2514381323010211</c:v>
                </c:pt>
                <c:pt idx="4">
                  <c:v>11.818850063796425</c:v>
                </c:pt>
                <c:pt idx="5">
                  <c:v>16.689909397899488</c:v>
                </c:pt>
                <c:pt idx="6">
                  <c:v>20.51174780068726</c:v>
                </c:pt>
                <c:pt idx="7">
                  <c:v>22.962799209675811</c:v>
                </c:pt>
                <c:pt idx="8">
                  <c:v>23.808804867298154</c:v>
                </c:pt>
                <c:pt idx="9">
                  <c:v>22.962799209675811</c:v>
                </c:pt>
                <c:pt idx="10">
                  <c:v>20.51174780068726</c:v>
                </c:pt>
                <c:pt idx="11">
                  <c:v>16.689909397899488</c:v>
                </c:pt>
                <c:pt idx="12">
                  <c:v>11.818850063796425</c:v>
                </c:pt>
                <c:pt idx="13">
                  <c:v>6.2514381323010211</c:v>
                </c:pt>
                <c:pt idx="14">
                  <c:v>0.34092741488909467</c:v>
                </c:pt>
                <c:pt idx="15">
                  <c:v>-5.5659413629359076</c:v>
                </c:pt>
                <c:pt idx="16">
                  <c:v>-11.123097819904336</c:v>
                </c:pt>
              </c:numCache>
            </c:numRef>
          </c:yVal>
          <c:smooth val="1"/>
        </c:ser>
        <c:ser>
          <c:idx val="16"/>
          <c:order val="20"/>
          <c:tx>
            <c:strRef>
              <c:f>Calculs!$A$26</c:f>
              <c:strCache>
                <c:ptCount val="1"/>
                <c:pt idx="0">
                  <c:v>21-avr.</c:v>
                </c:pt>
              </c:strCache>
            </c:strRef>
          </c:tx>
          <c:spPr>
            <a:ln w="25400">
              <a:solidFill>
                <a:srgbClr val="3366FF"/>
              </a:solidFill>
              <a:prstDash val="solid"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2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Calculs!$B$38:$R$38</c:f>
              <c:numCache>
                <c:formatCode>General</c:formatCode>
                <c:ptCount val="17"/>
                <c:pt idx="0">
                  <c:v>-122.0942995582744</c:v>
                </c:pt>
                <c:pt idx="1">
                  <c:v>-108.42847342184564</c:v>
                </c:pt>
                <c:pt idx="2">
                  <c:v>-94.823672200266031</c:v>
                </c:pt>
                <c:pt idx="3">
                  <c:v>-80.994821160932176</c:v>
                </c:pt>
                <c:pt idx="4">
                  <c:v>-66.622453431039062</c:v>
                </c:pt>
                <c:pt idx="5">
                  <c:v>-51.404771392597702</c:v>
                </c:pt>
                <c:pt idx="6">
                  <c:v>-35.14708269359042</c:v>
                </c:pt>
                <c:pt idx="7">
                  <c:v>-17.889008740144554</c:v>
                </c:pt>
                <c:pt idx="8">
                  <c:v>0</c:v>
                </c:pt>
                <c:pt idx="9">
                  <c:v>17.889008740144554</c:v>
                </c:pt>
                <c:pt idx="10">
                  <c:v>35.14708269359042</c:v>
                </c:pt>
                <c:pt idx="11">
                  <c:v>51.404771392597702</c:v>
                </c:pt>
                <c:pt idx="12">
                  <c:v>66.622453431039062</c:v>
                </c:pt>
                <c:pt idx="13">
                  <c:v>80.994821160932176</c:v>
                </c:pt>
                <c:pt idx="14">
                  <c:v>94.823672200266031</c:v>
                </c:pt>
                <c:pt idx="15">
                  <c:v>108.42847342184564</c:v>
                </c:pt>
                <c:pt idx="16">
                  <c:v>122.0942995582744</c:v>
                </c:pt>
              </c:numCache>
            </c:numRef>
          </c:xVal>
          <c:yVal>
            <c:numRef>
              <c:f>Calculs!$B$26:$R$26</c:f>
              <c:numCache>
                <c:formatCode>General</c:formatCode>
                <c:ptCount val="17"/>
                <c:pt idx="0">
                  <c:v>-0.23590044205900396</c:v>
                </c:pt>
                <c:pt idx="1">
                  <c:v>5.147625613970523</c:v>
                </c:pt>
                <c:pt idx="2">
                  <c:v>10.977547372442187</c:v>
                </c:pt>
                <c:pt idx="3">
                  <c:v>16.925405025863359</c:v>
                </c:pt>
                <c:pt idx="4">
                  <c:v>22.641619852095033</c:v>
                </c:pt>
                <c:pt idx="5">
                  <c:v>27.745666694159887</c:v>
                </c:pt>
                <c:pt idx="6">
                  <c:v>31.828611266032606</c:v>
                </c:pt>
                <c:pt idx="7">
                  <c:v>34.489117516301384</c:v>
                </c:pt>
                <c:pt idx="8">
                  <c:v>35.415901853001422</c:v>
                </c:pt>
                <c:pt idx="9">
                  <c:v>34.489117516301384</c:v>
                </c:pt>
                <c:pt idx="10">
                  <c:v>31.828611266032606</c:v>
                </c:pt>
                <c:pt idx="11">
                  <c:v>27.745666694159887</c:v>
                </c:pt>
                <c:pt idx="12">
                  <c:v>22.641619852095033</c:v>
                </c:pt>
                <c:pt idx="13">
                  <c:v>16.925405025863359</c:v>
                </c:pt>
                <c:pt idx="14">
                  <c:v>10.977547372442187</c:v>
                </c:pt>
                <c:pt idx="15">
                  <c:v>5.147625613970523</c:v>
                </c:pt>
                <c:pt idx="16">
                  <c:v>-0.23590044205900396</c:v>
                </c:pt>
              </c:numCache>
            </c:numRef>
          </c:yVal>
          <c:smooth val="1"/>
        </c:ser>
        <c:ser>
          <c:idx val="17"/>
          <c:order val="21"/>
          <c:tx>
            <c:strRef>
              <c:f>Calculs!$A$27</c:f>
              <c:strCache>
                <c:ptCount val="1"/>
                <c:pt idx="0">
                  <c:v>21-mai</c:v>
                </c:pt>
              </c:strCache>
            </c:strRef>
          </c:tx>
          <c:spPr>
            <a:ln w="25400">
              <a:solidFill>
                <a:srgbClr val="333333"/>
              </a:solidFill>
              <a:prstDash val="solid"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2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Calculs!$B$39:$R$39</c:f>
              <c:numCache>
                <c:formatCode>General</c:formatCode>
                <c:ptCount val="17"/>
                <c:pt idx="0">
                  <c:v>-124.96038074373428</c:v>
                </c:pt>
                <c:pt idx="1">
                  <c:v>-111.69151213679133</c:v>
                </c:pt>
                <c:pt idx="2">
                  <c:v>-98.3489736603469</c:v>
                </c:pt>
                <c:pt idx="3">
                  <c:v>-84.635194452921667</c:v>
                </c:pt>
                <c:pt idx="4">
                  <c:v>-70.188134121409135</c:v>
                </c:pt>
                <c:pt idx="5">
                  <c:v>-54.627140977507352</c:v>
                </c:pt>
                <c:pt idx="6">
                  <c:v>-37.661741742108958</c:v>
                </c:pt>
                <c:pt idx="7">
                  <c:v>-19.290209382363113</c:v>
                </c:pt>
                <c:pt idx="8">
                  <c:v>0</c:v>
                </c:pt>
                <c:pt idx="9">
                  <c:v>19.290209382363113</c:v>
                </c:pt>
                <c:pt idx="10">
                  <c:v>37.661741742108958</c:v>
                </c:pt>
                <c:pt idx="11">
                  <c:v>54.627140977507352</c:v>
                </c:pt>
                <c:pt idx="12">
                  <c:v>70.188134121409135</c:v>
                </c:pt>
                <c:pt idx="13">
                  <c:v>84.635194452921667</c:v>
                </c:pt>
                <c:pt idx="14">
                  <c:v>98.3489736603469</c:v>
                </c:pt>
                <c:pt idx="15">
                  <c:v>111.69151213679133</c:v>
                </c:pt>
                <c:pt idx="16">
                  <c:v>124.96038074373428</c:v>
                </c:pt>
              </c:numCache>
            </c:numRef>
          </c:xVal>
          <c:yVal>
            <c:numRef>
              <c:f>Calculs!$B$27:$R$27</c:f>
              <c:numCache>
                <c:formatCode>General</c:formatCode>
                <c:ptCount val="17"/>
                <c:pt idx="0">
                  <c:v>7.5288831671792833</c:v>
                </c:pt>
                <c:pt idx="1">
                  <c:v>12.769152038516221</c:v>
                </c:pt>
                <c:pt idx="2">
                  <c:v>18.518004269061866</c:v>
                </c:pt>
                <c:pt idx="3">
                  <c:v>24.467802703017934</c:v>
                </c:pt>
                <c:pt idx="4">
                  <c:v>30.276887799716587</c:v>
                </c:pt>
                <c:pt idx="5">
                  <c:v>35.553429919271359</c:v>
                </c:pt>
                <c:pt idx="6">
                  <c:v>39.848730761099802</c:v>
                </c:pt>
                <c:pt idx="7">
                  <c:v>42.690754977464785</c:v>
                </c:pt>
                <c:pt idx="8">
                  <c:v>43.689980240074327</c:v>
                </c:pt>
                <c:pt idx="9">
                  <c:v>42.690754977464785</c:v>
                </c:pt>
                <c:pt idx="10">
                  <c:v>39.848730761099802</c:v>
                </c:pt>
                <c:pt idx="11">
                  <c:v>35.553429919271359</c:v>
                </c:pt>
                <c:pt idx="12">
                  <c:v>30.276887799716587</c:v>
                </c:pt>
                <c:pt idx="13">
                  <c:v>24.467802703017934</c:v>
                </c:pt>
                <c:pt idx="14">
                  <c:v>18.518004269061866</c:v>
                </c:pt>
                <c:pt idx="15">
                  <c:v>12.769152038516221</c:v>
                </c:pt>
                <c:pt idx="16">
                  <c:v>7.5288831671792833</c:v>
                </c:pt>
              </c:numCache>
            </c:numRef>
          </c:yVal>
          <c:smooth val="1"/>
        </c:ser>
        <c:ser>
          <c:idx val="18"/>
          <c:order val="22"/>
          <c:tx>
            <c:strRef>
              <c:f>Calculs!$A$28</c:f>
              <c:strCache>
                <c:ptCount val="1"/>
                <c:pt idx="0">
                  <c:v>21-juin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Calculs!$B$40:$R$40</c:f>
              <c:numCache>
                <c:formatCode>General</c:formatCode>
                <c:ptCount val="17"/>
                <c:pt idx="0">
                  <c:v>-126.08644004379019</c:v>
                </c:pt>
                <c:pt idx="1">
                  <c:v>-112.99541803971289</c:v>
                </c:pt>
                <c:pt idx="2">
                  <c:v>-99.78467061622473</c:v>
                </c:pt>
                <c:pt idx="3">
                  <c:v>-86.149547805250961</c:v>
                </c:pt>
                <c:pt idx="4">
                  <c:v>-71.706964258474599</c:v>
                </c:pt>
                <c:pt idx="5">
                  <c:v>-56.035438034356673</c:v>
                </c:pt>
                <c:pt idx="6">
                  <c:v>-38.788926913382682</c:v>
                </c:pt>
                <c:pt idx="7">
                  <c:v>-19.930840986524625</c:v>
                </c:pt>
                <c:pt idx="8">
                  <c:v>0</c:v>
                </c:pt>
                <c:pt idx="9">
                  <c:v>19.930840986524625</c:v>
                </c:pt>
                <c:pt idx="10">
                  <c:v>38.788926913382682</c:v>
                </c:pt>
                <c:pt idx="11">
                  <c:v>56.035438034356673</c:v>
                </c:pt>
                <c:pt idx="12">
                  <c:v>71.706964258474599</c:v>
                </c:pt>
                <c:pt idx="13">
                  <c:v>86.149547805250961</c:v>
                </c:pt>
                <c:pt idx="14">
                  <c:v>99.78467061622473</c:v>
                </c:pt>
                <c:pt idx="15">
                  <c:v>112.99541803971289</c:v>
                </c:pt>
                <c:pt idx="16">
                  <c:v>126.08644004379019</c:v>
                </c:pt>
              </c:numCache>
            </c:numRef>
          </c:xVal>
          <c:yVal>
            <c:numRef>
              <c:f>Calculs!$B$28:$R$28</c:f>
              <c:numCache>
                <c:formatCode>General</c:formatCode>
                <c:ptCount val="17"/>
                <c:pt idx="0">
                  <c:v>10.516563053060224</c:v>
                </c:pt>
                <c:pt idx="1">
                  <c:v>15.695885472604088</c:v>
                </c:pt>
                <c:pt idx="2">
                  <c:v>21.406311575135522</c:v>
                </c:pt>
                <c:pt idx="3">
                  <c:v>27.350163416229734</c:v>
                </c:pt>
                <c:pt idx="4">
                  <c:v>33.191489888084355</c:v>
                </c:pt>
                <c:pt idx="5">
                  <c:v>38.536727234892211</c:v>
                </c:pt>
                <c:pt idx="6">
                  <c:v>42.92251069967093</c:v>
                </c:pt>
                <c:pt idx="7">
                  <c:v>45.845515165708917</c:v>
                </c:pt>
                <c:pt idx="8">
                  <c:v>46.877887422773334</c:v>
                </c:pt>
                <c:pt idx="9">
                  <c:v>45.845515165708917</c:v>
                </c:pt>
                <c:pt idx="10">
                  <c:v>42.92251069967093</c:v>
                </c:pt>
                <c:pt idx="11">
                  <c:v>38.536727234892211</c:v>
                </c:pt>
                <c:pt idx="12">
                  <c:v>33.191489888084355</c:v>
                </c:pt>
                <c:pt idx="13">
                  <c:v>27.350163416229734</c:v>
                </c:pt>
                <c:pt idx="14">
                  <c:v>21.406311575135522</c:v>
                </c:pt>
                <c:pt idx="15">
                  <c:v>15.695885472604088</c:v>
                </c:pt>
                <c:pt idx="16">
                  <c:v>10.516563053060224</c:v>
                </c:pt>
              </c:numCache>
            </c:numRef>
          </c:yVal>
          <c:smooth val="1"/>
        </c:ser>
        <c:ser>
          <c:idx val="19"/>
          <c:order val="23"/>
          <c:tx>
            <c:strRef>
              <c:f>Calculs!$A$29</c:f>
              <c:strCache>
                <c:ptCount val="1"/>
                <c:pt idx="0">
                  <c:v>21-juil.</c:v>
                </c:pt>
              </c:strCache>
            </c:strRef>
          </c:tx>
          <c:spPr>
            <a:ln w="25400">
              <a:solidFill>
                <a:srgbClr val="FF0000"/>
              </a:solidFill>
              <a:prstDash val="lgDash"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2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Calculs!$B$41:$R$41</c:f>
              <c:numCache>
                <c:formatCode>General</c:formatCode>
                <c:ptCount val="17"/>
                <c:pt idx="0">
                  <c:v>-125.02119481111318</c:v>
                </c:pt>
                <c:pt idx="1">
                  <c:v>-111.76161877039027</c:v>
                </c:pt>
                <c:pt idx="2">
                  <c:v>-98.425774836960855</c:v>
                </c:pt>
                <c:pt idx="3">
                  <c:v>-84.715733798381578</c:v>
                </c:pt>
                <c:pt idx="4">
                  <c:v>-70.268375895025287</c:v>
                </c:pt>
                <c:pt idx="5">
                  <c:v>-54.700993211007621</c:v>
                </c:pt>
                <c:pt idx="6">
                  <c:v>-37.720408756797703</c:v>
                </c:pt>
                <c:pt idx="7">
                  <c:v>-19.323351912673665</c:v>
                </c:pt>
                <c:pt idx="8" formatCode="0.0">
                  <c:v>0</c:v>
                </c:pt>
                <c:pt idx="9">
                  <c:v>19.323351912673665</c:v>
                </c:pt>
                <c:pt idx="10">
                  <c:v>37.720408756797703</c:v>
                </c:pt>
                <c:pt idx="11">
                  <c:v>54.700993211007621</c:v>
                </c:pt>
                <c:pt idx="12">
                  <c:v>70.268375895025287</c:v>
                </c:pt>
                <c:pt idx="13">
                  <c:v>84.715733798381578</c:v>
                </c:pt>
                <c:pt idx="14">
                  <c:v>98.425774836960855</c:v>
                </c:pt>
                <c:pt idx="15">
                  <c:v>111.76161877039027</c:v>
                </c:pt>
                <c:pt idx="16">
                  <c:v>125.02119481111318</c:v>
                </c:pt>
              </c:numCache>
            </c:numRef>
          </c:xVal>
          <c:yVal>
            <c:numRef>
              <c:f>Calculs!$B$29:$R$29</c:f>
              <c:numCache>
                <c:formatCode>General</c:formatCode>
                <c:ptCount val="17"/>
                <c:pt idx="0">
                  <c:v>7.6915266549543082</c:v>
                </c:pt>
                <c:pt idx="1">
                  <c:v>12.928571329141997</c:v>
                </c:pt>
                <c:pt idx="2">
                  <c:v>18.675445829465236</c:v>
                </c:pt>
                <c:pt idx="3">
                  <c:v>24.62502635984271</c:v>
                </c:pt>
                <c:pt idx="4">
                  <c:v>30.435922853204083</c:v>
                </c:pt>
                <c:pt idx="5">
                  <c:v>35.716167783386837</c:v>
                </c:pt>
                <c:pt idx="6">
                  <c:v>40.016249889595535</c:v>
                </c:pt>
                <c:pt idx="7">
                  <c:v>42.86249488218342</c:v>
                </c:pt>
                <c:pt idx="8">
                  <c:v>43.863434524750566</c:v>
                </c:pt>
                <c:pt idx="9">
                  <c:v>42.86249488218342</c:v>
                </c:pt>
                <c:pt idx="10">
                  <c:v>40.016249889595535</c:v>
                </c:pt>
                <c:pt idx="11">
                  <c:v>35.716167783386837</c:v>
                </c:pt>
                <c:pt idx="12">
                  <c:v>30.435922853204083</c:v>
                </c:pt>
                <c:pt idx="13">
                  <c:v>24.62502635984271</c:v>
                </c:pt>
                <c:pt idx="14">
                  <c:v>18.675445829465236</c:v>
                </c:pt>
                <c:pt idx="15">
                  <c:v>12.928571329141997</c:v>
                </c:pt>
                <c:pt idx="16">
                  <c:v>7.6915266549543082</c:v>
                </c:pt>
              </c:numCache>
            </c:numRef>
          </c:yVal>
          <c:smooth val="1"/>
        </c:ser>
        <c:ser>
          <c:idx val="20"/>
          <c:order val="24"/>
          <c:tx>
            <c:strRef>
              <c:f>Calculs!$A$30</c:f>
              <c:strCache>
                <c:ptCount val="1"/>
                <c:pt idx="0">
                  <c:v>21-août</c:v>
                </c:pt>
              </c:strCache>
            </c:strRef>
          </c:tx>
          <c:spPr>
            <a:ln w="25400">
              <a:solidFill>
                <a:srgbClr val="FF9900"/>
              </a:solidFill>
              <a:prstDash val="lgDash"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2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Calculs!$B$42:$R$42</c:f>
              <c:numCache>
                <c:formatCode>General</c:formatCode>
                <c:ptCount val="17"/>
                <c:pt idx="0">
                  <c:v>-122.11768334048071</c:v>
                </c:pt>
                <c:pt idx="1">
                  <c:v>-108.45476856524145</c:v>
                </c:pt>
                <c:pt idx="2">
                  <c:v>-94.851694950612256</c:v>
                </c:pt>
                <c:pt idx="3">
                  <c:v>-81.023326642824955</c:v>
                </c:pt>
                <c:pt idx="4">
                  <c:v>-66.649917839160906</c:v>
                </c:pt>
                <c:pt idx="5">
                  <c:v>-51.429161375981451</c:v>
                </c:pt>
                <c:pt idx="6">
                  <c:v>-35.165798144280615</c:v>
                </c:pt>
                <c:pt idx="7">
                  <c:v>-17.899303710220288</c:v>
                </c:pt>
                <c:pt idx="8">
                  <c:v>0</c:v>
                </c:pt>
                <c:pt idx="9">
                  <c:v>17.899303710220288</c:v>
                </c:pt>
                <c:pt idx="10">
                  <c:v>35.165798144280615</c:v>
                </c:pt>
                <c:pt idx="11">
                  <c:v>51.429161375981451</c:v>
                </c:pt>
                <c:pt idx="12">
                  <c:v>66.649917839160906</c:v>
                </c:pt>
                <c:pt idx="13">
                  <c:v>81.023326642824955</c:v>
                </c:pt>
                <c:pt idx="14">
                  <c:v>94.851694950612256</c:v>
                </c:pt>
                <c:pt idx="15">
                  <c:v>108.45476856524145</c:v>
                </c:pt>
                <c:pt idx="16">
                  <c:v>122.11768334048071</c:v>
                </c:pt>
              </c:numCache>
            </c:numRef>
          </c:xVal>
          <c:yVal>
            <c:numRef>
              <c:f>Calculs!$B$30:$R$30</c:f>
              <c:numCache>
                <c:formatCode>General</c:formatCode>
                <c:ptCount val="17"/>
                <c:pt idx="0">
                  <c:v>-0.17216973671699934</c:v>
                </c:pt>
                <c:pt idx="1">
                  <c:v>5.210256248877104</c:v>
                </c:pt>
                <c:pt idx="2">
                  <c:v>11.039609897547612</c:v>
                </c:pt>
                <c:pt idx="3">
                  <c:v>16.987573738571651</c:v>
                </c:pt>
                <c:pt idx="4">
                  <c:v>22.704597495380387</c:v>
                </c:pt>
                <c:pt idx="5">
                  <c:v>27.810030740734067</c:v>
                </c:pt>
                <c:pt idx="6">
                  <c:v>31.894609219655933</c:v>
                </c:pt>
                <c:pt idx="7">
                  <c:v>34.556470706300608</c:v>
                </c:pt>
                <c:pt idx="8">
                  <c:v>35.483787028725949</c:v>
                </c:pt>
                <c:pt idx="9">
                  <c:v>34.556470706300608</c:v>
                </c:pt>
                <c:pt idx="10">
                  <c:v>31.894609219655933</c:v>
                </c:pt>
                <c:pt idx="11">
                  <c:v>27.810030740734067</c:v>
                </c:pt>
                <c:pt idx="12">
                  <c:v>22.704597495380387</c:v>
                </c:pt>
                <c:pt idx="13">
                  <c:v>16.987573738571651</c:v>
                </c:pt>
                <c:pt idx="14">
                  <c:v>11.039609897547612</c:v>
                </c:pt>
                <c:pt idx="15">
                  <c:v>5.210256248877104</c:v>
                </c:pt>
                <c:pt idx="16">
                  <c:v>-0.17216973671699934</c:v>
                </c:pt>
              </c:numCache>
            </c:numRef>
          </c:yVal>
          <c:smooth val="1"/>
        </c:ser>
        <c:ser>
          <c:idx val="21"/>
          <c:order val="25"/>
          <c:tx>
            <c:strRef>
              <c:f>Calculs!$A$31</c:f>
              <c:strCache>
                <c:ptCount val="1"/>
                <c:pt idx="0">
                  <c:v>21-sept.</c:v>
                </c:pt>
              </c:strCache>
            </c:strRef>
          </c:tx>
          <c:spPr>
            <a:ln w="25400">
              <a:solidFill>
                <a:srgbClr val="FF6600"/>
              </a:solidFill>
              <a:prstDash val="lgDash"/>
            </a:ln>
          </c:spPr>
          <c:marker>
            <c:symbol val="none"/>
          </c:marker>
          <c:xVal>
            <c:numRef>
              <c:f>Calculs!$B$43:$R$43</c:f>
              <c:numCache>
                <c:formatCode>General</c:formatCode>
                <c:ptCount val="17"/>
                <c:pt idx="0">
                  <c:v>-118.13347858306668</c:v>
                </c:pt>
                <c:pt idx="1">
                  <c:v>-104.05303961338872</c:v>
                </c:pt>
                <c:pt idx="2">
                  <c:v>-90.247331899779297</c:v>
                </c:pt>
                <c:pt idx="3">
                  <c:v>-76.429887352793514</c:v>
                </c:pt>
                <c:pt idx="4">
                  <c:v>-62.312555845465766</c:v>
                </c:pt>
                <c:pt idx="5">
                  <c:v>-47.65422110467123</c:v>
                </c:pt>
                <c:pt idx="6">
                  <c:v>-32.321717485266674</c:v>
                </c:pt>
                <c:pt idx="7">
                  <c:v>-16.355557419048107</c:v>
                </c:pt>
                <c:pt idx="8">
                  <c:v>0</c:v>
                </c:pt>
                <c:pt idx="9">
                  <c:v>16.355557419048107</c:v>
                </c:pt>
                <c:pt idx="10">
                  <c:v>32.321717485266674</c:v>
                </c:pt>
                <c:pt idx="11">
                  <c:v>47.65422110467123</c:v>
                </c:pt>
                <c:pt idx="12">
                  <c:v>62.312555845465766</c:v>
                </c:pt>
                <c:pt idx="13">
                  <c:v>76.429887352793514</c:v>
                </c:pt>
                <c:pt idx="14">
                  <c:v>90.247331899779297</c:v>
                </c:pt>
                <c:pt idx="15">
                  <c:v>104.05303961338872</c:v>
                </c:pt>
                <c:pt idx="16">
                  <c:v>118.13347858306668</c:v>
                </c:pt>
              </c:numCache>
            </c:numRef>
          </c:xVal>
          <c:yVal>
            <c:numRef>
              <c:f>Calculs!$B$31:$R$31</c:f>
              <c:numCache>
                <c:formatCode>General</c:formatCode>
                <c:ptCount val="17"/>
                <c:pt idx="0">
                  <c:v>-10.888778816862009</c:v>
                </c:pt>
                <c:pt idx="1">
                  <c:v>-5.3350964496072528</c:v>
                </c:pt>
                <c:pt idx="2">
                  <c:v>0.57051253638274679</c:v>
                </c:pt>
                <c:pt idx="3">
                  <c:v>6.4822160543500082</c:v>
                </c:pt>
                <c:pt idx="4">
                  <c:v>12.053060295024174</c:v>
                </c:pt>
                <c:pt idx="5">
                  <c:v>16.929097305711721</c:v>
                </c:pt>
                <c:pt idx="6">
                  <c:v>20.756264054189511</c:v>
                </c:pt>
                <c:pt idx="7">
                  <c:v>23.211458946422749</c:v>
                </c:pt>
                <c:pt idx="8">
                  <c:v>24.059036372466892</c:v>
                </c:pt>
                <c:pt idx="9">
                  <c:v>23.211458946422749</c:v>
                </c:pt>
                <c:pt idx="10">
                  <c:v>20.756264054189511</c:v>
                </c:pt>
                <c:pt idx="11">
                  <c:v>16.929097305711721</c:v>
                </c:pt>
                <c:pt idx="12">
                  <c:v>12.053060295024174</c:v>
                </c:pt>
                <c:pt idx="13">
                  <c:v>6.4822160543500082</c:v>
                </c:pt>
                <c:pt idx="14">
                  <c:v>0.57051253638274679</c:v>
                </c:pt>
                <c:pt idx="15">
                  <c:v>-5.3350964496072528</c:v>
                </c:pt>
                <c:pt idx="16">
                  <c:v>-10.888778816862009</c:v>
                </c:pt>
              </c:numCache>
            </c:numRef>
          </c:yVal>
          <c:smooth val="1"/>
        </c:ser>
        <c:ser>
          <c:idx val="22"/>
          <c:order val="26"/>
          <c:tx>
            <c:strRef>
              <c:f>Calculs!$A$32</c:f>
              <c:strCache>
                <c:ptCount val="1"/>
                <c:pt idx="0">
                  <c:v>21-oct.</c:v>
                </c:pt>
              </c:strCache>
            </c:strRef>
          </c:tx>
          <c:spPr>
            <a:ln w="25400">
              <a:solidFill>
                <a:srgbClr val="666699"/>
              </a:solidFill>
              <a:prstDash val="lgDash"/>
            </a:ln>
          </c:spPr>
          <c:marker>
            <c:symbol val="none"/>
          </c:marker>
          <c:xVal>
            <c:numRef>
              <c:f>Calculs!$B$44:$R$44</c:f>
              <c:numCache>
                <c:formatCode>General</c:formatCode>
                <c:ptCount val="17"/>
                <c:pt idx="0">
                  <c:v>-113.85677062629851</c:v>
                </c:pt>
                <c:pt idx="1">
                  <c:v>-99.503748022823558</c:v>
                </c:pt>
                <c:pt idx="2">
                  <c:v>-85.667545172161141</c:v>
                </c:pt>
                <c:pt idx="3">
                  <c:v>-72.03341722386071</c:v>
                </c:pt>
                <c:pt idx="4">
                  <c:v>-58.317240431400982</c:v>
                </c:pt>
                <c:pt idx="5">
                  <c:v>-44.30281576655058</c:v>
                </c:pt>
                <c:pt idx="6">
                  <c:v>-29.876990653809063</c:v>
                </c:pt>
                <c:pt idx="7">
                  <c:v>-15.058534899511992</c:v>
                </c:pt>
                <c:pt idx="8">
                  <c:v>0</c:v>
                </c:pt>
                <c:pt idx="9">
                  <c:v>15.058534899511992</c:v>
                </c:pt>
                <c:pt idx="10">
                  <c:v>29.876990653809063</c:v>
                </c:pt>
                <c:pt idx="11">
                  <c:v>44.30281576655058</c:v>
                </c:pt>
                <c:pt idx="12">
                  <c:v>58.317240431400982</c:v>
                </c:pt>
                <c:pt idx="13">
                  <c:v>72.03341722386071</c:v>
                </c:pt>
                <c:pt idx="14">
                  <c:v>85.667545172161141</c:v>
                </c:pt>
                <c:pt idx="15">
                  <c:v>99.503748022823558</c:v>
                </c:pt>
                <c:pt idx="16">
                  <c:v>113.85677062629851</c:v>
                </c:pt>
              </c:numCache>
            </c:numRef>
          </c:xVal>
          <c:yVal>
            <c:numRef>
              <c:f>Calculs!$B$32:$R$32</c:f>
              <c:numCache>
                <c:formatCode>General</c:formatCode>
                <c:ptCount val="17"/>
                <c:pt idx="0">
                  <c:v>-21.532740255811909</c:v>
                </c:pt>
                <c:pt idx="1">
                  <c:v>-15.830877205202301</c:v>
                </c:pt>
                <c:pt idx="2">
                  <c:v>-9.8851129708002183</c:v>
                </c:pt>
                <c:pt idx="3">
                  <c:v>-4.0454353402106946</c:v>
                </c:pt>
                <c:pt idx="4">
                  <c:v>1.3572668178001639</c:v>
                </c:pt>
                <c:pt idx="5">
                  <c:v>6.0045358401053006</c:v>
                </c:pt>
                <c:pt idx="6">
                  <c:v>9.5959925118535221</c:v>
                </c:pt>
                <c:pt idx="7">
                  <c:v>11.87240064611554</c:v>
                </c:pt>
                <c:pt idx="8">
                  <c:v>12.653021118067871</c:v>
                </c:pt>
                <c:pt idx="9">
                  <c:v>11.87240064611554</c:v>
                </c:pt>
                <c:pt idx="10">
                  <c:v>9.5959925118535221</c:v>
                </c:pt>
                <c:pt idx="11">
                  <c:v>6.0045358401053006</c:v>
                </c:pt>
                <c:pt idx="12">
                  <c:v>1.3572668178001639</c:v>
                </c:pt>
                <c:pt idx="13">
                  <c:v>-4.0454353402106946</c:v>
                </c:pt>
                <c:pt idx="14">
                  <c:v>-9.8851129708002183</c:v>
                </c:pt>
                <c:pt idx="15">
                  <c:v>-15.830877205202301</c:v>
                </c:pt>
                <c:pt idx="16">
                  <c:v>-21.532740255811909</c:v>
                </c:pt>
              </c:numCache>
            </c:numRef>
          </c:yVal>
          <c:smooth val="1"/>
        </c:ser>
        <c:ser>
          <c:idx val="23"/>
          <c:order val="27"/>
          <c:tx>
            <c:strRef>
              <c:f>Calculs!$A$33</c:f>
              <c:strCache>
                <c:ptCount val="1"/>
                <c:pt idx="0">
                  <c:v>21-nov.</c:v>
                </c:pt>
              </c:strCache>
            </c:strRef>
          </c:tx>
          <c:spPr>
            <a:ln w="25400">
              <a:solidFill>
                <a:srgbClr val="003300"/>
              </a:solidFill>
              <a:prstDash val="lgDash"/>
            </a:ln>
          </c:spPr>
          <c:marker>
            <c:symbol val="none"/>
          </c:marker>
          <c:xVal>
            <c:numRef>
              <c:f>Calculs!$B$45:$R$45</c:f>
              <c:numCache>
                <c:formatCode>General</c:formatCode>
                <c:ptCount val="17"/>
                <c:pt idx="0">
                  <c:v>-109.93959137649975</c:v>
                </c:pt>
                <c:pt idx="1">
                  <c:v>-95.49312853992727</c:v>
                </c:pt>
                <c:pt idx="2">
                  <c:v>-81.773497725278872</c:v>
                </c:pt>
                <c:pt idx="3">
                  <c:v>-68.420367979123498</c:v>
                </c:pt>
                <c:pt idx="4">
                  <c:v>-55.136734205356298</c:v>
                </c:pt>
                <c:pt idx="5">
                  <c:v>-41.710648663198775</c:v>
                </c:pt>
                <c:pt idx="6">
                  <c:v>-28.030682464629955</c:v>
                </c:pt>
                <c:pt idx="7">
                  <c:v>-14.09466672975741</c:v>
                </c:pt>
                <c:pt idx="8">
                  <c:v>0</c:v>
                </c:pt>
                <c:pt idx="9">
                  <c:v>14.09466672975741</c:v>
                </c:pt>
                <c:pt idx="10">
                  <c:v>28.030682464629955</c:v>
                </c:pt>
                <c:pt idx="11">
                  <c:v>41.710648663198775</c:v>
                </c:pt>
                <c:pt idx="12">
                  <c:v>55.136734205356298</c:v>
                </c:pt>
                <c:pt idx="13">
                  <c:v>68.420367979123498</c:v>
                </c:pt>
                <c:pt idx="14">
                  <c:v>81.773497725278872</c:v>
                </c:pt>
                <c:pt idx="15">
                  <c:v>95.49312853992727</c:v>
                </c:pt>
                <c:pt idx="16">
                  <c:v>109.93959137649975</c:v>
                </c:pt>
              </c:numCache>
            </c:numRef>
          </c:xVal>
          <c:yVal>
            <c:numRef>
              <c:f>Calculs!$B$33:$R$33</c:f>
              <c:numCache>
                <c:formatCode>General</c:formatCode>
                <c:ptCount val="17"/>
                <c:pt idx="0">
                  <c:v>-30.022574479180506</c:v>
                </c:pt>
                <c:pt idx="1">
                  <c:v>-24.216397691321884</c:v>
                </c:pt>
                <c:pt idx="2">
                  <c:v>-18.266275060157309</c:v>
                </c:pt>
                <c:pt idx="3">
                  <c:v>-12.514287377329669</c:v>
                </c:pt>
                <c:pt idx="4">
                  <c:v>-7.2688856578270027</c:v>
                </c:pt>
                <c:pt idx="5">
                  <c:v>-2.8147143104755346</c:v>
                </c:pt>
                <c:pt idx="6">
                  <c:v>0.59015276881264445</c:v>
                </c:pt>
                <c:pt idx="7">
                  <c:v>2.7308469047037236</c:v>
                </c:pt>
                <c:pt idx="8">
                  <c:v>3.4617206458166332</c:v>
                </c:pt>
                <c:pt idx="9">
                  <c:v>2.7308469047037236</c:v>
                </c:pt>
                <c:pt idx="10">
                  <c:v>0.59015276881264445</c:v>
                </c:pt>
                <c:pt idx="11">
                  <c:v>-2.8147143104755346</c:v>
                </c:pt>
                <c:pt idx="12">
                  <c:v>-7.2688856578270027</c:v>
                </c:pt>
                <c:pt idx="13">
                  <c:v>-12.514287377329669</c:v>
                </c:pt>
                <c:pt idx="14">
                  <c:v>-18.266275060157309</c:v>
                </c:pt>
                <c:pt idx="15">
                  <c:v>-24.216397691321884</c:v>
                </c:pt>
                <c:pt idx="16">
                  <c:v>-30.022574479180506</c:v>
                </c:pt>
              </c:numCache>
            </c:numRef>
          </c:yVal>
          <c:smooth val="1"/>
        </c:ser>
        <c:ser>
          <c:idx val="24"/>
          <c:order val="28"/>
          <c:tx>
            <c:strRef>
              <c:f>Calculs!$A$34</c:f>
              <c:strCache>
                <c:ptCount val="1"/>
                <c:pt idx="0">
                  <c:v>21-déc.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Calculs!$B$46:$R$46</c:f>
              <c:numCache>
                <c:formatCode>General</c:formatCode>
                <c:ptCount val="17"/>
                <c:pt idx="0">
                  <c:v>-108.29324638603161</c:v>
                </c:pt>
                <c:pt idx="1">
                  <c:v>-93.850660748438813</c:v>
                </c:pt>
                <c:pt idx="2">
                  <c:v>-80.21552589939148</c:v>
                </c:pt>
                <c:pt idx="3">
                  <c:v>-67.004759486735111</c:v>
                </c:pt>
                <c:pt idx="4">
                  <c:v>-53.913712556916806</c:v>
                </c:pt>
                <c:pt idx="5">
                  <c:v>-40.7299458181201</c:v>
                </c:pt>
                <c:pt idx="6">
                  <c:v>-27.341183152294843</c:v>
                </c:pt>
                <c:pt idx="7">
                  <c:v>-13.737775467846429</c:v>
                </c:pt>
                <c:pt idx="8">
                  <c:v>0</c:v>
                </c:pt>
                <c:pt idx="9">
                  <c:v>13.737775467846429</c:v>
                </c:pt>
                <c:pt idx="10">
                  <c:v>27.341183152294843</c:v>
                </c:pt>
                <c:pt idx="11">
                  <c:v>40.7299458181201</c:v>
                </c:pt>
                <c:pt idx="12">
                  <c:v>53.913712556916806</c:v>
                </c:pt>
                <c:pt idx="13">
                  <c:v>67.004759486735111</c:v>
                </c:pt>
                <c:pt idx="14">
                  <c:v>80.21552589939148</c:v>
                </c:pt>
                <c:pt idx="15">
                  <c:v>93.850660748438813</c:v>
                </c:pt>
                <c:pt idx="16">
                  <c:v>108.29324638603161</c:v>
                </c:pt>
              </c:numCache>
            </c:numRef>
          </c:xVal>
          <c:yVal>
            <c:numRef>
              <c:f>Calculs!$B$34:$R$34</c:f>
              <c:numCache>
                <c:formatCode>General</c:formatCode>
                <c:ptCount val="17"/>
                <c:pt idx="0">
                  <c:v>-33.191099588476334</c:v>
                </c:pt>
                <c:pt idx="1">
                  <c:v>-27.349777290231966</c:v>
                </c:pt>
                <c:pt idx="2">
                  <c:v>-21.405924362846619</c:v>
                </c:pt>
                <c:pt idx="3">
                  <c:v>-15.695492791657848</c:v>
                </c:pt>
                <c:pt idx="4">
                  <c:v>-10.516161934318294</c:v>
                </c:pt>
                <c:pt idx="5">
                  <c:v>-6.1386843125113142</c:v>
                </c:pt>
                <c:pt idx="6">
                  <c:v>-2.8053338707392292</c:v>
                </c:pt>
                <c:pt idx="7">
                  <c:v>-0.71547408792296663</c:v>
                </c:pt>
                <c:pt idx="8">
                  <c:v>-3.0191617777162675E-3</c:v>
                </c:pt>
                <c:pt idx="9">
                  <c:v>-0.71547408792296663</c:v>
                </c:pt>
                <c:pt idx="10">
                  <c:v>-2.8053338707392292</c:v>
                </c:pt>
                <c:pt idx="11">
                  <c:v>-6.1386843125113142</c:v>
                </c:pt>
                <c:pt idx="12">
                  <c:v>-10.516161934318294</c:v>
                </c:pt>
                <c:pt idx="13">
                  <c:v>-15.695492791657848</c:v>
                </c:pt>
                <c:pt idx="14">
                  <c:v>-21.405924362846619</c:v>
                </c:pt>
                <c:pt idx="15">
                  <c:v>-27.349777290231966</c:v>
                </c:pt>
                <c:pt idx="16">
                  <c:v>-33.191099588476334</c:v>
                </c:pt>
              </c:numCache>
            </c:numRef>
          </c:yVal>
          <c:smooth val="1"/>
        </c:ser>
        <c:ser>
          <c:idx val="29"/>
          <c:order val="29"/>
          <c:marker>
            <c:symbol val="none"/>
          </c:marker>
          <c:xVal>
            <c:numRef>
              <c:f>Calculs!$B$35:$B$46</c:f>
              <c:numCache>
                <c:formatCode>General</c:formatCode>
                <c:ptCount val="12"/>
                <c:pt idx="0">
                  <c:v>-110.00738619431483</c:v>
                </c:pt>
                <c:pt idx="1">
                  <c:v>-113.99487918901887</c:v>
                </c:pt>
                <c:pt idx="2">
                  <c:v>-118.04402427145359</c:v>
                </c:pt>
                <c:pt idx="3">
                  <c:v>-122.0942995582744</c:v>
                </c:pt>
                <c:pt idx="4">
                  <c:v>-124.96038074373428</c:v>
                </c:pt>
                <c:pt idx="5">
                  <c:v>-126.08644004379019</c:v>
                </c:pt>
                <c:pt idx="6">
                  <c:v>-125.02119481111318</c:v>
                </c:pt>
                <c:pt idx="7">
                  <c:v>-122.11768334048071</c:v>
                </c:pt>
                <c:pt idx="8">
                  <c:v>-118.13347858306668</c:v>
                </c:pt>
                <c:pt idx="9">
                  <c:v>-113.85677062629851</c:v>
                </c:pt>
                <c:pt idx="10">
                  <c:v>-109.93959137649975</c:v>
                </c:pt>
                <c:pt idx="11">
                  <c:v>-108.29324638603161</c:v>
                </c:pt>
              </c:numCache>
            </c:numRef>
          </c:xVal>
          <c:yVal>
            <c:numRef>
              <c:f>Calculs!$B$8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78496"/>
        <c:axId val="48440832"/>
      </c:scatterChart>
      <c:valAx>
        <c:axId val="47578496"/>
        <c:scaling>
          <c:orientation val="minMax"/>
          <c:max val="120"/>
          <c:min val="-12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Azimut</a:t>
                </a:r>
              </a:p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Sud géographique</a:t>
                </a:r>
              </a:p>
            </c:rich>
          </c:tx>
          <c:layout>
            <c:manualLayout>
              <c:xMode val="edge"/>
              <c:yMode val="edge"/>
              <c:x val="0.36054019701737716"/>
              <c:y val="0.943719837006732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8440832"/>
        <c:crosses val="autoZero"/>
        <c:crossBetween val="midCat"/>
        <c:majorUnit val="15"/>
        <c:minorUnit val="15"/>
      </c:valAx>
      <c:valAx>
        <c:axId val="48440832"/>
        <c:scaling>
          <c:orientation val="minMax"/>
          <c:max val="90"/>
          <c:min val="0"/>
        </c:scaling>
        <c:delete val="0"/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Hauteur</a:t>
                </a:r>
              </a:p>
            </c:rich>
          </c:tx>
          <c:layout>
            <c:manualLayout>
              <c:xMode val="edge"/>
              <c:yMode val="edge"/>
              <c:x val="0.84349921154539742"/>
              <c:y val="0.4814372829144860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7578496"/>
        <c:crosses val="max"/>
        <c:crossBetween val="midCat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9"/>
        <c:delete val="1"/>
      </c:legendEntry>
      <c:layout>
        <c:manualLayout>
          <c:xMode val="edge"/>
          <c:yMode val="edge"/>
          <c:x val="0.87562688064192573"/>
          <c:y val="0.1347305389221557"/>
          <c:w val="0.10170475391010643"/>
          <c:h val="0.8057435830258776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96" workbookViewId="0"/>
  </sheetViews>
  <pageMargins left="0.19685039370078741" right="0.19685039370078741" top="0.19685039370078741" bottom="0.19685039370078741" header="0.51181102362204722" footer="0.11811023622047245"/>
  <pageSetup paperSize="9" orientation="landscape" horizontalDpi="300" verticalDpi="300" r:id="rId1"/>
  <headerFooter alignWithMargins="0">
    <oddHeader>&amp;R&amp;[Datesave]</oddHead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215563" cy="70802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0.87275</cdr:x>
      <cdr:y>0.038</cdr:y>
    </cdr:from>
    <cdr:to>
      <cdr:x>0.99275</cdr:x>
      <cdr:y>0.1215</cdr:y>
    </cdr:to>
    <cdr:sp macro="" textlink="">
      <cdr:nvSpPr>
        <cdr:cNvPr id="1027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283969" y="272005"/>
          <a:ext cx="1141716" cy="59491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45720" tIns="32004" rIns="4572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 Baltic"/>
              <a:cs typeface="Arial Baltic"/>
            </a:rPr>
            <a:t>Latitude :</a:t>
          </a:r>
          <a:endParaRPr lang="fr-FR"/>
        </a:p>
      </cdr:txBody>
    </cdr:sp>
  </cdr:relSizeAnchor>
  <cdr:relSizeAnchor xmlns:cdr="http://schemas.openxmlformats.org/drawingml/2006/chartDrawing">
    <cdr:from>
      <cdr:x>0.89353</cdr:x>
      <cdr:y>0.07425</cdr:y>
    </cdr:from>
    <cdr:to>
      <cdr:x>0.96451</cdr:x>
      <cdr:y>0.1215</cdr:y>
    </cdr:to>
    <cdr:sp macro="" textlink="Calculs!$B$5" fLocksText="0">
      <cdr:nvSpPr>
        <cdr:cNvPr id="1029" name="Text Box 5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 flipV="1">
          <a:off x="8493125" y="472959"/>
          <a:ext cx="674688" cy="300975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 xmlns:a="http://schemas.openxmlformats.org/drawingml/2006/main">
          <a:noFill/>
        </a:ln>
        <a:extLst xmlns:a="http://schemas.openxmlformats.org/drawingml/2006/main"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45720" tIns="32004" rIns="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1887D23E-136C-4081-8E2D-EF0D085CABB0}" type="TxLink"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66,56278</a:t>
          </a:fld>
          <a:endParaRPr lang="fr-FR"/>
        </a:p>
      </cdr:txBody>
    </cdr:sp>
  </cdr:relSizeAnchor>
  <cdr:relSizeAnchor xmlns:cdr="http://schemas.openxmlformats.org/drawingml/2006/chartDrawing">
    <cdr:from>
      <cdr:x>0.61564</cdr:x>
      <cdr:y>0.04482</cdr:y>
    </cdr:from>
    <cdr:to>
      <cdr:x>0.8526</cdr:x>
      <cdr:y>0.08543</cdr:y>
    </cdr:to>
    <cdr:sp macro="" textlink="[0]!Ville_ref">
      <cdr:nvSpPr>
        <cdr:cNvPr id="2" name="ZoneTexte 1"/>
        <cdr:cNvSpPr txBox="1"/>
      </cdr:nvSpPr>
      <cdr:spPr>
        <a:xfrm xmlns:a="http://schemas.openxmlformats.org/drawingml/2006/main">
          <a:off x="6297659" y="317500"/>
          <a:ext cx="2423971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229DAFC2-A343-4115-ADE7-B907F4E955F0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Cercle Arctique</a:t>
          </a:fld>
          <a:endParaRPr lang="fr-FR" sz="1400"/>
        </a:p>
      </cdr:txBody>
    </cdr:sp>
  </cdr:relSizeAnchor>
  <cdr:relSizeAnchor xmlns:cdr="http://schemas.openxmlformats.org/drawingml/2006/chartDrawing">
    <cdr:from>
      <cdr:x>0.4668</cdr:x>
      <cdr:y>0.94698</cdr:y>
    </cdr:from>
    <cdr:to>
      <cdr:x>0.70221</cdr:x>
      <cdr:y>0.98527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4603750" y="6379766"/>
          <a:ext cx="2321719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000"/>
        </a:p>
      </cdr:txBody>
    </cdr:sp>
  </cdr:relSizeAnchor>
  <cdr:relSizeAnchor xmlns:cdr="http://schemas.openxmlformats.org/drawingml/2006/chartDrawing">
    <cdr:from>
      <cdr:x>0.13411</cdr:x>
      <cdr:y>0.06723</cdr:y>
    </cdr:from>
    <cdr:to>
      <cdr:x>0.67444</cdr:x>
      <cdr:y>0.13725</cdr:y>
    </cdr:to>
    <cdr:sp macro="" textlink="">
      <cdr:nvSpPr>
        <cdr:cNvPr id="4" name="ZoneTexte 3"/>
        <cdr:cNvSpPr txBox="1"/>
      </cdr:nvSpPr>
      <cdr:spPr>
        <a:xfrm xmlns:a="http://schemas.openxmlformats.org/drawingml/2006/main">
          <a:off x="1369219" y="476249"/>
          <a:ext cx="5516562" cy="496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0.51503</cdr:x>
      <cdr:y>0.02801</cdr:y>
    </cdr:from>
    <cdr:to>
      <cdr:x>0.61979</cdr:x>
      <cdr:y>0.06443</cdr:y>
    </cdr:to>
    <cdr:sp macro="" textlink="">
      <cdr:nvSpPr>
        <cdr:cNvPr id="6" name="ZoneTexte 5"/>
        <cdr:cNvSpPr txBox="1"/>
      </cdr:nvSpPr>
      <cdr:spPr>
        <a:xfrm xmlns:a="http://schemas.openxmlformats.org/drawingml/2006/main">
          <a:off x="5268516" y="198438"/>
          <a:ext cx="1071562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0.32556</cdr:x>
      <cdr:y>0.09384</cdr:y>
    </cdr:from>
    <cdr:to>
      <cdr:x>0.41512</cdr:x>
      <cdr:y>0.22291</cdr:y>
    </cdr:to>
    <cdr:sp macro="" textlink="">
      <cdr:nvSpPr>
        <cdr:cNvPr id="7" name="ZoneTexte 6"/>
        <cdr:cNvSpPr txBox="1"/>
      </cdr:nvSpPr>
      <cdr:spPr>
        <a:xfrm xmlns:a="http://schemas.openxmlformats.org/drawingml/2006/main">
          <a:off x="3323828" y="66476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0.19433</cdr:x>
      <cdr:y>0.09518</cdr:y>
    </cdr:from>
    <cdr:to>
      <cdr:x>0.28387</cdr:x>
      <cdr:y>0.22419</cdr:y>
    </cdr:to>
    <cdr:sp macro="" textlink="">
      <cdr:nvSpPr>
        <cdr:cNvPr id="8" name="ZoneTexte 7"/>
        <cdr:cNvSpPr txBox="1"/>
      </cdr:nvSpPr>
      <cdr:spPr>
        <a:xfrm xmlns:a="http://schemas.openxmlformats.org/drawingml/2006/main">
          <a:off x="1984375" y="67468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0.5645</cdr:x>
      <cdr:y>0.09664</cdr:y>
    </cdr:from>
    <cdr:to>
      <cdr:x>0.71969</cdr:x>
      <cdr:y>0.13025</cdr:y>
    </cdr:to>
    <cdr:sp macro="" textlink="">
      <cdr:nvSpPr>
        <cdr:cNvPr id="9" name="ZoneTexte 8"/>
        <cdr:cNvSpPr txBox="1"/>
      </cdr:nvSpPr>
      <cdr:spPr>
        <a:xfrm xmlns:a="http://schemas.openxmlformats.org/drawingml/2006/main">
          <a:off x="5774525" y="684619"/>
          <a:ext cx="1587505" cy="2381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r>
            <a:rPr lang="fr-FR" sz="1100"/>
            <a:t>déclinaison magnétique:</a:t>
          </a:r>
        </a:p>
      </cdr:txBody>
    </cdr:sp>
  </cdr:relSizeAnchor>
  <cdr:relSizeAnchor xmlns:cdr="http://schemas.openxmlformats.org/drawingml/2006/chartDrawing">
    <cdr:from>
      <cdr:x>0.7226</cdr:x>
      <cdr:y>0.08543</cdr:y>
    </cdr:from>
    <cdr:to>
      <cdr:x>0.79728</cdr:x>
      <cdr:y>0.13445</cdr:y>
    </cdr:to>
    <cdr:sp macro="" textlink="">
      <cdr:nvSpPr>
        <cdr:cNvPr id="10" name="ZoneTexte 9"/>
        <cdr:cNvSpPr txBox="1"/>
      </cdr:nvSpPr>
      <cdr:spPr>
        <a:xfrm xmlns:a="http://schemas.openxmlformats.org/drawingml/2006/main">
          <a:off x="7391797" y="605234"/>
          <a:ext cx="763984" cy="3472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0.72745</cdr:x>
      <cdr:y>0.09664</cdr:y>
    </cdr:from>
    <cdr:to>
      <cdr:x>0.80019</cdr:x>
      <cdr:y>0.13585</cdr:y>
    </cdr:to>
    <cdr:sp macro="" textlink="">
      <cdr:nvSpPr>
        <cdr:cNvPr id="11" name="ZoneTexte 10"/>
        <cdr:cNvSpPr txBox="1"/>
      </cdr:nvSpPr>
      <cdr:spPr>
        <a:xfrm xmlns:a="http://schemas.openxmlformats.org/drawingml/2006/main">
          <a:off x="7441406" y="684609"/>
          <a:ext cx="744141" cy="277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0.09893</cdr:x>
      <cdr:y>0.92997</cdr:y>
    </cdr:from>
    <cdr:to>
      <cdr:x>0.1581</cdr:x>
      <cdr:y>0.993</cdr:y>
    </cdr:to>
    <cdr:sp macro="" textlink="">
      <cdr:nvSpPr>
        <cdr:cNvPr id="5" name="ZoneTexte 4"/>
        <cdr:cNvSpPr txBox="1"/>
      </cdr:nvSpPr>
      <cdr:spPr>
        <a:xfrm xmlns:a="http://schemas.openxmlformats.org/drawingml/2006/main">
          <a:off x="1012031" y="6588124"/>
          <a:ext cx="605234" cy="4464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0.87275</cdr:x>
      <cdr:y>0.038</cdr:y>
    </cdr:from>
    <cdr:to>
      <cdr:x>0.99275</cdr:x>
      <cdr:y>0.1215</cdr:y>
    </cdr:to>
    <cdr:sp macro="" textlink="">
      <cdr:nvSpPr>
        <cdr:cNvPr id="14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283969" y="272005"/>
          <a:ext cx="1141716" cy="59491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45720" tIns="32004" rIns="4572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 Baltic"/>
              <a:cs typeface="Arial Baltic"/>
            </a:rPr>
            <a:t>Latitude :</a:t>
          </a:r>
          <a:endParaRPr lang="fr-FR"/>
        </a:p>
      </cdr:txBody>
    </cdr:sp>
  </cdr:relSizeAnchor>
  <cdr:relSizeAnchor xmlns:cdr="http://schemas.openxmlformats.org/drawingml/2006/chartDrawing">
    <cdr:from>
      <cdr:x>0.89353</cdr:x>
      <cdr:y>0.07425</cdr:y>
    </cdr:from>
    <cdr:to>
      <cdr:x>0.96451</cdr:x>
      <cdr:y>0.1215</cdr:y>
    </cdr:to>
    <cdr:sp macro="" textlink="Calculs!$B$5" fLocksText="0">
      <cdr:nvSpPr>
        <cdr:cNvPr id="15" name="Text Box 5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 flipV="1">
          <a:off x="8493125" y="472959"/>
          <a:ext cx="674688" cy="300975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 xmlns:a="http://schemas.openxmlformats.org/drawingml/2006/main">
          <a:noFill/>
        </a:ln>
        <a:extLst xmlns:a="http://schemas.openxmlformats.org/drawingml/2006/main"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45720" tIns="32004" rIns="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1887D23E-136C-4081-8E2D-EF0D085CABB0}" type="TxLink"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66,56278</a:t>
          </a:fld>
          <a:endParaRPr lang="fr-FR"/>
        </a:p>
      </cdr:txBody>
    </cdr:sp>
  </cdr:relSizeAnchor>
  <cdr:relSizeAnchor xmlns:cdr="http://schemas.openxmlformats.org/drawingml/2006/chartDrawing">
    <cdr:from>
      <cdr:x>0.61564</cdr:x>
      <cdr:y>0.04482</cdr:y>
    </cdr:from>
    <cdr:to>
      <cdr:x>0.8526</cdr:x>
      <cdr:y>0.08543</cdr:y>
    </cdr:to>
    <cdr:sp macro="" textlink="[0]!Ville_ref">
      <cdr:nvSpPr>
        <cdr:cNvPr id="16" name="ZoneTexte 1"/>
        <cdr:cNvSpPr txBox="1"/>
      </cdr:nvSpPr>
      <cdr:spPr>
        <a:xfrm xmlns:a="http://schemas.openxmlformats.org/drawingml/2006/main">
          <a:off x="6297659" y="317500"/>
          <a:ext cx="2423971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229DAFC2-A343-4115-ADE7-B907F4E955F0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Cercle Arctique</a:t>
          </a:fld>
          <a:endParaRPr lang="fr-FR" sz="1400"/>
        </a:p>
      </cdr:txBody>
    </cdr:sp>
  </cdr:relSizeAnchor>
  <cdr:relSizeAnchor xmlns:cdr="http://schemas.openxmlformats.org/drawingml/2006/chartDrawing">
    <cdr:from>
      <cdr:x>0.4668</cdr:x>
      <cdr:y>0.94698</cdr:y>
    </cdr:from>
    <cdr:to>
      <cdr:x>0.70221</cdr:x>
      <cdr:y>0.98527</cdr:y>
    </cdr:to>
    <cdr:sp macro="" textlink="">
      <cdr:nvSpPr>
        <cdr:cNvPr id="17" name="ZoneTexte 2"/>
        <cdr:cNvSpPr txBox="1"/>
      </cdr:nvSpPr>
      <cdr:spPr>
        <a:xfrm xmlns:a="http://schemas.openxmlformats.org/drawingml/2006/main">
          <a:off x="4603750" y="6379766"/>
          <a:ext cx="2321719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000"/>
        </a:p>
      </cdr:txBody>
    </cdr:sp>
  </cdr:relSizeAnchor>
  <cdr:relSizeAnchor xmlns:cdr="http://schemas.openxmlformats.org/drawingml/2006/chartDrawing">
    <cdr:from>
      <cdr:x>0.13411</cdr:x>
      <cdr:y>0.06723</cdr:y>
    </cdr:from>
    <cdr:to>
      <cdr:x>0.67444</cdr:x>
      <cdr:y>0.13725</cdr:y>
    </cdr:to>
    <cdr:sp macro="" textlink="">
      <cdr:nvSpPr>
        <cdr:cNvPr id="18" name="ZoneTexte 3"/>
        <cdr:cNvSpPr txBox="1"/>
      </cdr:nvSpPr>
      <cdr:spPr>
        <a:xfrm xmlns:a="http://schemas.openxmlformats.org/drawingml/2006/main">
          <a:off x="1369219" y="476249"/>
          <a:ext cx="5516562" cy="496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0.51503</cdr:x>
      <cdr:y>0.02801</cdr:y>
    </cdr:from>
    <cdr:to>
      <cdr:x>0.61979</cdr:x>
      <cdr:y>0.06443</cdr:y>
    </cdr:to>
    <cdr:sp macro="" textlink="">
      <cdr:nvSpPr>
        <cdr:cNvPr id="19" name="ZoneTexte 5"/>
        <cdr:cNvSpPr txBox="1"/>
      </cdr:nvSpPr>
      <cdr:spPr>
        <a:xfrm xmlns:a="http://schemas.openxmlformats.org/drawingml/2006/main">
          <a:off x="5268516" y="198438"/>
          <a:ext cx="1071562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0.32556</cdr:x>
      <cdr:y>0.09384</cdr:y>
    </cdr:from>
    <cdr:to>
      <cdr:x>0.41512</cdr:x>
      <cdr:y>0.22291</cdr:y>
    </cdr:to>
    <cdr:sp macro="" textlink="">
      <cdr:nvSpPr>
        <cdr:cNvPr id="20" name="ZoneTexte 6"/>
        <cdr:cNvSpPr txBox="1"/>
      </cdr:nvSpPr>
      <cdr:spPr>
        <a:xfrm xmlns:a="http://schemas.openxmlformats.org/drawingml/2006/main">
          <a:off x="3323828" y="66476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0.19433</cdr:x>
      <cdr:y>0.09518</cdr:y>
    </cdr:from>
    <cdr:to>
      <cdr:x>0.28387</cdr:x>
      <cdr:y>0.22419</cdr:y>
    </cdr:to>
    <cdr:sp macro="" textlink="">
      <cdr:nvSpPr>
        <cdr:cNvPr id="21" name="ZoneTexte 7"/>
        <cdr:cNvSpPr txBox="1"/>
      </cdr:nvSpPr>
      <cdr:spPr>
        <a:xfrm xmlns:a="http://schemas.openxmlformats.org/drawingml/2006/main">
          <a:off x="1984375" y="67468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0.5645</cdr:x>
      <cdr:y>0.09664</cdr:y>
    </cdr:from>
    <cdr:to>
      <cdr:x>0.71969</cdr:x>
      <cdr:y>0.13025</cdr:y>
    </cdr:to>
    <cdr:sp macro="" textlink="">
      <cdr:nvSpPr>
        <cdr:cNvPr id="22" name="ZoneTexte 8"/>
        <cdr:cNvSpPr txBox="1"/>
      </cdr:nvSpPr>
      <cdr:spPr>
        <a:xfrm xmlns:a="http://schemas.openxmlformats.org/drawingml/2006/main">
          <a:off x="5774525" y="684619"/>
          <a:ext cx="1587505" cy="2381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r>
            <a:rPr lang="fr-FR" sz="1100"/>
            <a:t>déclinaison magnétique:</a:t>
          </a:r>
        </a:p>
      </cdr:txBody>
    </cdr:sp>
  </cdr:relSizeAnchor>
  <cdr:relSizeAnchor xmlns:cdr="http://schemas.openxmlformats.org/drawingml/2006/chartDrawing">
    <cdr:from>
      <cdr:x>0.7226</cdr:x>
      <cdr:y>0.08543</cdr:y>
    </cdr:from>
    <cdr:to>
      <cdr:x>0.79728</cdr:x>
      <cdr:y>0.13445</cdr:y>
    </cdr:to>
    <cdr:sp macro="" textlink="">
      <cdr:nvSpPr>
        <cdr:cNvPr id="23" name="ZoneTexte 9"/>
        <cdr:cNvSpPr txBox="1"/>
      </cdr:nvSpPr>
      <cdr:spPr>
        <a:xfrm xmlns:a="http://schemas.openxmlformats.org/drawingml/2006/main">
          <a:off x="7391797" y="605234"/>
          <a:ext cx="763984" cy="3472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0.72745</cdr:x>
      <cdr:y>0.09664</cdr:y>
    </cdr:from>
    <cdr:to>
      <cdr:x>0.80019</cdr:x>
      <cdr:y>0.13585</cdr:y>
    </cdr:to>
    <cdr:sp macro="" textlink="">
      <cdr:nvSpPr>
        <cdr:cNvPr id="24" name="ZoneTexte 10"/>
        <cdr:cNvSpPr txBox="1"/>
      </cdr:nvSpPr>
      <cdr:spPr>
        <a:xfrm xmlns:a="http://schemas.openxmlformats.org/drawingml/2006/main">
          <a:off x="7441406" y="684609"/>
          <a:ext cx="744141" cy="277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0.09893</cdr:x>
      <cdr:y>0.92997</cdr:y>
    </cdr:from>
    <cdr:to>
      <cdr:x>0.1581</cdr:x>
      <cdr:y>0.993</cdr:y>
    </cdr:to>
    <cdr:sp macro="" textlink="">
      <cdr:nvSpPr>
        <cdr:cNvPr id="25" name="ZoneTexte 4"/>
        <cdr:cNvSpPr txBox="1"/>
      </cdr:nvSpPr>
      <cdr:spPr>
        <a:xfrm xmlns:a="http://schemas.openxmlformats.org/drawingml/2006/main">
          <a:off x="1012031" y="6588124"/>
          <a:ext cx="605234" cy="4464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0.87275</cdr:x>
      <cdr:y>0.038</cdr:y>
    </cdr:from>
    <cdr:to>
      <cdr:x>0.99275</cdr:x>
      <cdr:y>0.1215</cdr:y>
    </cdr:to>
    <cdr:sp macro="" textlink="">
      <cdr:nvSpPr>
        <cdr:cNvPr id="28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283969" y="272005"/>
          <a:ext cx="1141716" cy="59491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45720" tIns="32004" rIns="4572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 Baltic"/>
              <a:cs typeface="Arial Baltic"/>
            </a:rPr>
            <a:t>Latitude :</a:t>
          </a:r>
          <a:endParaRPr lang="fr-FR"/>
        </a:p>
      </cdr:txBody>
    </cdr:sp>
  </cdr:relSizeAnchor>
  <cdr:relSizeAnchor xmlns:cdr="http://schemas.openxmlformats.org/drawingml/2006/chartDrawing">
    <cdr:from>
      <cdr:x>0.89353</cdr:x>
      <cdr:y>0.07425</cdr:y>
    </cdr:from>
    <cdr:to>
      <cdr:x>0.96451</cdr:x>
      <cdr:y>0.1215</cdr:y>
    </cdr:to>
    <cdr:sp macro="" textlink="[0]!Latitude" fLocksText="0">
      <cdr:nvSpPr>
        <cdr:cNvPr id="29" name="Text Box 5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 flipV="1">
          <a:off x="8493125" y="472959"/>
          <a:ext cx="674688" cy="300975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 xmlns:a="http://schemas.openxmlformats.org/drawingml/2006/main">
          <a:noFill/>
        </a:ln>
        <a:extLst xmlns:a="http://schemas.openxmlformats.org/drawingml/2006/main"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45720" tIns="32004" rIns="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B332E5A5-ED42-4805-82AB-0547F1DF0CF9}" type="TxLink"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66,56278</a:t>
          </a:fld>
          <a:endParaRPr lang="fr-FR"/>
        </a:p>
      </cdr:txBody>
    </cdr:sp>
  </cdr:relSizeAnchor>
  <cdr:relSizeAnchor xmlns:cdr="http://schemas.openxmlformats.org/drawingml/2006/chartDrawing">
    <cdr:from>
      <cdr:x>0.61564</cdr:x>
      <cdr:y>0.04482</cdr:y>
    </cdr:from>
    <cdr:to>
      <cdr:x>0.8526</cdr:x>
      <cdr:y>0.08543</cdr:y>
    </cdr:to>
    <cdr:sp macro="" textlink="[0]!Ville_ref">
      <cdr:nvSpPr>
        <cdr:cNvPr id="30" name="ZoneTexte 1"/>
        <cdr:cNvSpPr txBox="1"/>
      </cdr:nvSpPr>
      <cdr:spPr>
        <a:xfrm xmlns:a="http://schemas.openxmlformats.org/drawingml/2006/main">
          <a:off x="6297659" y="317500"/>
          <a:ext cx="2423971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229DAFC2-A343-4115-ADE7-B907F4E955F0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Cercle Arctique</a:t>
          </a:fld>
          <a:endParaRPr lang="fr-FR" sz="1400"/>
        </a:p>
      </cdr:txBody>
    </cdr:sp>
  </cdr:relSizeAnchor>
  <cdr:relSizeAnchor xmlns:cdr="http://schemas.openxmlformats.org/drawingml/2006/chartDrawing">
    <cdr:from>
      <cdr:x>0.4668</cdr:x>
      <cdr:y>0.94698</cdr:y>
    </cdr:from>
    <cdr:to>
      <cdr:x>0.70221</cdr:x>
      <cdr:y>0.98527</cdr:y>
    </cdr:to>
    <cdr:sp macro="" textlink="">
      <cdr:nvSpPr>
        <cdr:cNvPr id="31" name="ZoneTexte 2"/>
        <cdr:cNvSpPr txBox="1"/>
      </cdr:nvSpPr>
      <cdr:spPr>
        <a:xfrm xmlns:a="http://schemas.openxmlformats.org/drawingml/2006/main">
          <a:off x="4603750" y="6379766"/>
          <a:ext cx="2321719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000"/>
        </a:p>
      </cdr:txBody>
    </cdr:sp>
  </cdr:relSizeAnchor>
  <cdr:relSizeAnchor xmlns:cdr="http://schemas.openxmlformats.org/drawingml/2006/chartDrawing">
    <cdr:from>
      <cdr:x>0.13411</cdr:x>
      <cdr:y>0.06723</cdr:y>
    </cdr:from>
    <cdr:to>
      <cdr:x>0.67444</cdr:x>
      <cdr:y>0.13725</cdr:y>
    </cdr:to>
    <cdr:sp macro="" textlink="">
      <cdr:nvSpPr>
        <cdr:cNvPr id="1024" name="ZoneTexte 3"/>
        <cdr:cNvSpPr txBox="1"/>
      </cdr:nvSpPr>
      <cdr:spPr>
        <a:xfrm xmlns:a="http://schemas.openxmlformats.org/drawingml/2006/main">
          <a:off x="1369219" y="476249"/>
          <a:ext cx="5516562" cy="496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0.51503</cdr:x>
      <cdr:y>0.02801</cdr:y>
    </cdr:from>
    <cdr:to>
      <cdr:x>0.61979</cdr:x>
      <cdr:y>0.06443</cdr:y>
    </cdr:to>
    <cdr:sp macro="" textlink="">
      <cdr:nvSpPr>
        <cdr:cNvPr id="1028" name="ZoneTexte 5"/>
        <cdr:cNvSpPr txBox="1"/>
      </cdr:nvSpPr>
      <cdr:spPr>
        <a:xfrm xmlns:a="http://schemas.openxmlformats.org/drawingml/2006/main">
          <a:off x="5268516" y="198438"/>
          <a:ext cx="1071562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0.32556</cdr:x>
      <cdr:y>0.09384</cdr:y>
    </cdr:from>
    <cdr:to>
      <cdr:x>0.41512</cdr:x>
      <cdr:y>0.22291</cdr:y>
    </cdr:to>
    <cdr:sp macro="" textlink="">
      <cdr:nvSpPr>
        <cdr:cNvPr id="1030" name="ZoneTexte 6"/>
        <cdr:cNvSpPr txBox="1"/>
      </cdr:nvSpPr>
      <cdr:spPr>
        <a:xfrm xmlns:a="http://schemas.openxmlformats.org/drawingml/2006/main">
          <a:off x="3323828" y="66476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0.19433</cdr:x>
      <cdr:y>0.09518</cdr:y>
    </cdr:from>
    <cdr:to>
      <cdr:x>0.28387</cdr:x>
      <cdr:y>0.22419</cdr:y>
    </cdr:to>
    <cdr:sp macro="" textlink="">
      <cdr:nvSpPr>
        <cdr:cNvPr id="1031" name="ZoneTexte 7"/>
        <cdr:cNvSpPr txBox="1"/>
      </cdr:nvSpPr>
      <cdr:spPr>
        <a:xfrm xmlns:a="http://schemas.openxmlformats.org/drawingml/2006/main">
          <a:off x="1984375" y="67468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0.5645</cdr:x>
      <cdr:y>0.09664</cdr:y>
    </cdr:from>
    <cdr:to>
      <cdr:x>0.71969</cdr:x>
      <cdr:y>0.13025</cdr:y>
    </cdr:to>
    <cdr:sp macro="" textlink="">
      <cdr:nvSpPr>
        <cdr:cNvPr id="1032" name="ZoneTexte 8"/>
        <cdr:cNvSpPr txBox="1"/>
      </cdr:nvSpPr>
      <cdr:spPr>
        <a:xfrm xmlns:a="http://schemas.openxmlformats.org/drawingml/2006/main">
          <a:off x="5774525" y="684619"/>
          <a:ext cx="1587505" cy="2381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r>
            <a:rPr lang="fr-FR" sz="1100"/>
            <a:t>déclinaison magnétique:</a:t>
          </a:r>
        </a:p>
      </cdr:txBody>
    </cdr:sp>
  </cdr:relSizeAnchor>
  <cdr:relSizeAnchor xmlns:cdr="http://schemas.openxmlformats.org/drawingml/2006/chartDrawing">
    <cdr:from>
      <cdr:x>0.7226</cdr:x>
      <cdr:y>0.08543</cdr:y>
    </cdr:from>
    <cdr:to>
      <cdr:x>0.79728</cdr:x>
      <cdr:y>0.13445</cdr:y>
    </cdr:to>
    <cdr:sp macro="" textlink="">
      <cdr:nvSpPr>
        <cdr:cNvPr id="1033" name="ZoneTexte 9"/>
        <cdr:cNvSpPr txBox="1"/>
      </cdr:nvSpPr>
      <cdr:spPr>
        <a:xfrm xmlns:a="http://schemas.openxmlformats.org/drawingml/2006/main">
          <a:off x="7391797" y="605234"/>
          <a:ext cx="763984" cy="3472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0.72745</cdr:x>
      <cdr:y>0.09664</cdr:y>
    </cdr:from>
    <cdr:to>
      <cdr:x>0.80019</cdr:x>
      <cdr:y>0.13585</cdr:y>
    </cdr:to>
    <cdr:sp macro="" textlink="">
      <cdr:nvSpPr>
        <cdr:cNvPr id="1034" name="ZoneTexte 10"/>
        <cdr:cNvSpPr txBox="1"/>
      </cdr:nvSpPr>
      <cdr:spPr>
        <a:xfrm xmlns:a="http://schemas.openxmlformats.org/drawingml/2006/main">
          <a:off x="7441406" y="684609"/>
          <a:ext cx="744141" cy="277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0.09893</cdr:x>
      <cdr:y>0.92997</cdr:y>
    </cdr:from>
    <cdr:to>
      <cdr:x>0.1581</cdr:x>
      <cdr:y>0.993</cdr:y>
    </cdr:to>
    <cdr:sp macro="" textlink="">
      <cdr:nvSpPr>
        <cdr:cNvPr id="1035" name="ZoneTexte 4"/>
        <cdr:cNvSpPr txBox="1"/>
      </cdr:nvSpPr>
      <cdr:spPr>
        <a:xfrm xmlns:a="http://schemas.openxmlformats.org/drawingml/2006/main">
          <a:off x="1012031" y="6588124"/>
          <a:ext cx="605234" cy="4464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0.67798</cdr:x>
      <cdr:y>0.93277</cdr:y>
    </cdr:from>
    <cdr:to>
      <cdr:x>0.75204</cdr:x>
      <cdr:y>0.9972</cdr:y>
    </cdr:to>
    <cdr:sp macro="" textlink="">
      <cdr:nvSpPr>
        <cdr:cNvPr id="1036" name="ZoneTexte 1035"/>
        <cdr:cNvSpPr txBox="1"/>
      </cdr:nvSpPr>
      <cdr:spPr>
        <a:xfrm xmlns:a="http://schemas.openxmlformats.org/drawingml/2006/main">
          <a:off x="6923214" y="6611660"/>
          <a:ext cx="756317" cy="4566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Ouest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0.72192</cdr:x>
      <cdr:y>0.09518</cdr:y>
    </cdr:from>
    <cdr:to>
      <cdr:x>0.78799</cdr:x>
      <cdr:y>0.13578</cdr:y>
    </cdr:to>
    <cdr:sp macro="" textlink="">
      <cdr:nvSpPr>
        <cdr:cNvPr id="1037" name="ZoneTexte 1036"/>
        <cdr:cNvSpPr txBox="1"/>
      </cdr:nvSpPr>
      <cdr:spPr>
        <a:xfrm xmlns:a="http://schemas.openxmlformats.org/drawingml/2006/main">
          <a:off x="7371953" y="674688"/>
          <a:ext cx="674688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0.87275</cdr:x>
      <cdr:y>0.038</cdr:y>
    </cdr:from>
    <cdr:to>
      <cdr:x>0.99275</cdr:x>
      <cdr:y>0.1215</cdr:y>
    </cdr:to>
    <cdr:sp macro="" textlink="">
      <cdr:nvSpPr>
        <cdr:cNvPr id="12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283969" y="272005"/>
          <a:ext cx="1141716" cy="59491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45720" tIns="32004" rIns="4572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 Baltic"/>
              <a:cs typeface="Arial Baltic"/>
            </a:rPr>
            <a:t>Latitude :</a:t>
          </a:r>
          <a:endParaRPr lang="fr-FR"/>
        </a:p>
      </cdr:txBody>
    </cdr:sp>
  </cdr:relSizeAnchor>
  <cdr:relSizeAnchor xmlns:cdr="http://schemas.openxmlformats.org/drawingml/2006/chartDrawing">
    <cdr:from>
      <cdr:x>0.89353</cdr:x>
      <cdr:y>0.07425</cdr:y>
    </cdr:from>
    <cdr:to>
      <cdr:x>0.96451</cdr:x>
      <cdr:y>0.1215</cdr:y>
    </cdr:to>
    <cdr:sp macro="" textlink="Calculs!$B$5" fLocksText="0">
      <cdr:nvSpPr>
        <cdr:cNvPr id="13" name="Text Box 5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 flipV="1">
          <a:off x="8493125" y="472959"/>
          <a:ext cx="674688" cy="300975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 xmlns:a="http://schemas.openxmlformats.org/drawingml/2006/main">
          <a:noFill/>
        </a:ln>
        <a:extLst xmlns:a="http://schemas.openxmlformats.org/drawingml/2006/main"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45720" tIns="32004" rIns="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1887D23E-136C-4081-8E2D-EF0D085CABB0}" type="TxLink"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66,56278</a:t>
          </a:fld>
          <a:endParaRPr lang="fr-FR"/>
        </a:p>
      </cdr:txBody>
    </cdr:sp>
  </cdr:relSizeAnchor>
  <cdr:relSizeAnchor xmlns:cdr="http://schemas.openxmlformats.org/drawingml/2006/chartDrawing">
    <cdr:from>
      <cdr:x>0.61564</cdr:x>
      <cdr:y>0.04482</cdr:y>
    </cdr:from>
    <cdr:to>
      <cdr:x>0.8526</cdr:x>
      <cdr:y>0.08543</cdr:y>
    </cdr:to>
    <cdr:sp macro="" textlink="[0]!Ville_ref">
      <cdr:nvSpPr>
        <cdr:cNvPr id="26" name="ZoneTexte 1"/>
        <cdr:cNvSpPr txBox="1"/>
      </cdr:nvSpPr>
      <cdr:spPr>
        <a:xfrm xmlns:a="http://schemas.openxmlformats.org/drawingml/2006/main">
          <a:off x="6297659" y="317500"/>
          <a:ext cx="2423971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229DAFC2-A343-4115-ADE7-B907F4E955F0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Cercle Arctique</a:t>
          </a:fld>
          <a:endParaRPr lang="fr-FR" sz="1400"/>
        </a:p>
      </cdr:txBody>
    </cdr:sp>
  </cdr:relSizeAnchor>
  <cdr:relSizeAnchor xmlns:cdr="http://schemas.openxmlformats.org/drawingml/2006/chartDrawing">
    <cdr:from>
      <cdr:x>0.4668</cdr:x>
      <cdr:y>0.94698</cdr:y>
    </cdr:from>
    <cdr:to>
      <cdr:x>0.70221</cdr:x>
      <cdr:y>0.98527</cdr:y>
    </cdr:to>
    <cdr:sp macro="" textlink="">
      <cdr:nvSpPr>
        <cdr:cNvPr id="27" name="ZoneTexte 2"/>
        <cdr:cNvSpPr txBox="1"/>
      </cdr:nvSpPr>
      <cdr:spPr>
        <a:xfrm xmlns:a="http://schemas.openxmlformats.org/drawingml/2006/main">
          <a:off x="4603750" y="6379766"/>
          <a:ext cx="2321719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000"/>
        </a:p>
      </cdr:txBody>
    </cdr:sp>
  </cdr:relSizeAnchor>
  <cdr:relSizeAnchor xmlns:cdr="http://schemas.openxmlformats.org/drawingml/2006/chartDrawing">
    <cdr:from>
      <cdr:x>0.13411</cdr:x>
      <cdr:y>0.06723</cdr:y>
    </cdr:from>
    <cdr:to>
      <cdr:x>0.67444</cdr:x>
      <cdr:y>0.13725</cdr:y>
    </cdr:to>
    <cdr:sp macro="" textlink="">
      <cdr:nvSpPr>
        <cdr:cNvPr id="1025" name="ZoneTexte 3"/>
        <cdr:cNvSpPr txBox="1"/>
      </cdr:nvSpPr>
      <cdr:spPr>
        <a:xfrm xmlns:a="http://schemas.openxmlformats.org/drawingml/2006/main">
          <a:off x="1369219" y="476249"/>
          <a:ext cx="5516562" cy="496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0.51503</cdr:x>
      <cdr:y>0.02801</cdr:y>
    </cdr:from>
    <cdr:to>
      <cdr:x>0.61979</cdr:x>
      <cdr:y>0.06443</cdr:y>
    </cdr:to>
    <cdr:sp macro="" textlink="">
      <cdr:nvSpPr>
        <cdr:cNvPr id="1026" name="ZoneTexte 5"/>
        <cdr:cNvSpPr txBox="1"/>
      </cdr:nvSpPr>
      <cdr:spPr>
        <a:xfrm xmlns:a="http://schemas.openxmlformats.org/drawingml/2006/main">
          <a:off x="5268516" y="198438"/>
          <a:ext cx="1071562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0.32556</cdr:x>
      <cdr:y>0.09384</cdr:y>
    </cdr:from>
    <cdr:to>
      <cdr:x>0.41512</cdr:x>
      <cdr:y>0.22291</cdr:y>
    </cdr:to>
    <cdr:sp macro="" textlink="">
      <cdr:nvSpPr>
        <cdr:cNvPr id="1038" name="ZoneTexte 6"/>
        <cdr:cNvSpPr txBox="1"/>
      </cdr:nvSpPr>
      <cdr:spPr>
        <a:xfrm xmlns:a="http://schemas.openxmlformats.org/drawingml/2006/main">
          <a:off x="3323828" y="66476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0.19433</cdr:x>
      <cdr:y>0.09518</cdr:y>
    </cdr:from>
    <cdr:to>
      <cdr:x>0.28387</cdr:x>
      <cdr:y>0.22419</cdr:y>
    </cdr:to>
    <cdr:sp macro="" textlink="">
      <cdr:nvSpPr>
        <cdr:cNvPr id="1039" name="ZoneTexte 7"/>
        <cdr:cNvSpPr txBox="1"/>
      </cdr:nvSpPr>
      <cdr:spPr>
        <a:xfrm xmlns:a="http://schemas.openxmlformats.org/drawingml/2006/main">
          <a:off x="1984375" y="67468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0.5645</cdr:x>
      <cdr:y>0.09664</cdr:y>
    </cdr:from>
    <cdr:to>
      <cdr:x>0.71969</cdr:x>
      <cdr:y>0.13025</cdr:y>
    </cdr:to>
    <cdr:sp macro="" textlink="">
      <cdr:nvSpPr>
        <cdr:cNvPr id="1040" name="ZoneTexte 8"/>
        <cdr:cNvSpPr txBox="1"/>
      </cdr:nvSpPr>
      <cdr:spPr>
        <a:xfrm xmlns:a="http://schemas.openxmlformats.org/drawingml/2006/main">
          <a:off x="5774525" y="684619"/>
          <a:ext cx="1587505" cy="2381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r>
            <a:rPr lang="fr-FR" sz="1100"/>
            <a:t>déclinaison magnétique:</a:t>
          </a:r>
        </a:p>
      </cdr:txBody>
    </cdr:sp>
  </cdr:relSizeAnchor>
  <cdr:relSizeAnchor xmlns:cdr="http://schemas.openxmlformats.org/drawingml/2006/chartDrawing">
    <cdr:from>
      <cdr:x>0.7226</cdr:x>
      <cdr:y>0.08543</cdr:y>
    </cdr:from>
    <cdr:to>
      <cdr:x>0.79728</cdr:x>
      <cdr:y>0.13445</cdr:y>
    </cdr:to>
    <cdr:sp macro="" textlink="">
      <cdr:nvSpPr>
        <cdr:cNvPr id="1041" name="ZoneTexte 9"/>
        <cdr:cNvSpPr txBox="1"/>
      </cdr:nvSpPr>
      <cdr:spPr>
        <a:xfrm xmlns:a="http://schemas.openxmlformats.org/drawingml/2006/main">
          <a:off x="7391797" y="605234"/>
          <a:ext cx="763984" cy="3472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0.72745</cdr:x>
      <cdr:y>0.09664</cdr:y>
    </cdr:from>
    <cdr:to>
      <cdr:x>0.80019</cdr:x>
      <cdr:y>0.13585</cdr:y>
    </cdr:to>
    <cdr:sp macro="" textlink="">
      <cdr:nvSpPr>
        <cdr:cNvPr id="1042" name="ZoneTexte 10"/>
        <cdr:cNvSpPr txBox="1"/>
      </cdr:nvSpPr>
      <cdr:spPr>
        <a:xfrm xmlns:a="http://schemas.openxmlformats.org/drawingml/2006/main">
          <a:off x="7441406" y="684609"/>
          <a:ext cx="744141" cy="277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0.09893</cdr:x>
      <cdr:y>0.92997</cdr:y>
    </cdr:from>
    <cdr:to>
      <cdr:x>0.1581</cdr:x>
      <cdr:y>0.993</cdr:y>
    </cdr:to>
    <cdr:sp macro="" textlink="">
      <cdr:nvSpPr>
        <cdr:cNvPr id="1043" name="ZoneTexte 4"/>
        <cdr:cNvSpPr txBox="1"/>
      </cdr:nvSpPr>
      <cdr:spPr>
        <a:xfrm xmlns:a="http://schemas.openxmlformats.org/drawingml/2006/main">
          <a:off x="1012031" y="6588124"/>
          <a:ext cx="605234" cy="4464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0.87275</cdr:x>
      <cdr:y>0.038</cdr:y>
    </cdr:from>
    <cdr:to>
      <cdr:x>0.99275</cdr:x>
      <cdr:y>0.1215</cdr:y>
    </cdr:to>
    <cdr:sp macro="" textlink="">
      <cdr:nvSpPr>
        <cdr:cNvPr id="1044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283969" y="272005"/>
          <a:ext cx="1141716" cy="59491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45720" tIns="32004" rIns="4572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 Baltic"/>
              <a:cs typeface="Arial Baltic"/>
            </a:rPr>
            <a:t>Latitude :</a:t>
          </a:r>
          <a:endParaRPr lang="fr-FR"/>
        </a:p>
      </cdr:txBody>
    </cdr:sp>
  </cdr:relSizeAnchor>
  <cdr:relSizeAnchor xmlns:cdr="http://schemas.openxmlformats.org/drawingml/2006/chartDrawing">
    <cdr:from>
      <cdr:x>0.89353</cdr:x>
      <cdr:y>0.07425</cdr:y>
    </cdr:from>
    <cdr:to>
      <cdr:x>0.96451</cdr:x>
      <cdr:y>0.1215</cdr:y>
    </cdr:to>
    <cdr:sp macro="" textlink="Calculs!$B$5" fLocksText="0">
      <cdr:nvSpPr>
        <cdr:cNvPr id="1045" name="Text Box 5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 flipV="1">
          <a:off x="8493125" y="472959"/>
          <a:ext cx="674688" cy="300975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 xmlns:a="http://schemas.openxmlformats.org/drawingml/2006/main">
          <a:noFill/>
        </a:ln>
        <a:extLst xmlns:a="http://schemas.openxmlformats.org/drawingml/2006/main"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45720" tIns="32004" rIns="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1887D23E-136C-4081-8E2D-EF0D085CABB0}" type="TxLink"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66,56278</a:t>
          </a:fld>
          <a:endParaRPr lang="fr-FR"/>
        </a:p>
      </cdr:txBody>
    </cdr:sp>
  </cdr:relSizeAnchor>
  <cdr:relSizeAnchor xmlns:cdr="http://schemas.openxmlformats.org/drawingml/2006/chartDrawing">
    <cdr:from>
      <cdr:x>0.61564</cdr:x>
      <cdr:y>0.04482</cdr:y>
    </cdr:from>
    <cdr:to>
      <cdr:x>0.8526</cdr:x>
      <cdr:y>0.08543</cdr:y>
    </cdr:to>
    <cdr:sp macro="" textlink="[0]!Ville_ref">
      <cdr:nvSpPr>
        <cdr:cNvPr id="1046" name="ZoneTexte 1"/>
        <cdr:cNvSpPr txBox="1"/>
      </cdr:nvSpPr>
      <cdr:spPr>
        <a:xfrm xmlns:a="http://schemas.openxmlformats.org/drawingml/2006/main">
          <a:off x="6297659" y="317500"/>
          <a:ext cx="2423971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229DAFC2-A343-4115-ADE7-B907F4E955F0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Cercle Arctique</a:t>
          </a:fld>
          <a:endParaRPr lang="fr-FR" sz="1400"/>
        </a:p>
      </cdr:txBody>
    </cdr:sp>
  </cdr:relSizeAnchor>
  <cdr:relSizeAnchor xmlns:cdr="http://schemas.openxmlformats.org/drawingml/2006/chartDrawing">
    <cdr:from>
      <cdr:x>0.4668</cdr:x>
      <cdr:y>0.94698</cdr:y>
    </cdr:from>
    <cdr:to>
      <cdr:x>0.70221</cdr:x>
      <cdr:y>0.98527</cdr:y>
    </cdr:to>
    <cdr:sp macro="" textlink="">
      <cdr:nvSpPr>
        <cdr:cNvPr id="1047" name="ZoneTexte 2"/>
        <cdr:cNvSpPr txBox="1"/>
      </cdr:nvSpPr>
      <cdr:spPr>
        <a:xfrm xmlns:a="http://schemas.openxmlformats.org/drawingml/2006/main">
          <a:off x="4603750" y="6379766"/>
          <a:ext cx="2321719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000"/>
        </a:p>
      </cdr:txBody>
    </cdr:sp>
  </cdr:relSizeAnchor>
  <cdr:relSizeAnchor xmlns:cdr="http://schemas.openxmlformats.org/drawingml/2006/chartDrawing">
    <cdr:from>
      <cdr:x>0.13411</cdr:x>
      <cdr:y>0.06723</cdr:y>
    </cdr:from>
    <cdr:to>
      <cdr:x>0.67444</cdr:x>
      <cdr:y>0.13725</cdr:y>
    </cdr:to>
    <cdr:sp macro="" textlink="">
      <cdr:nvSpPr>
        <cdr:cNvPr id="1048" name="ZoneTexte 3"/>
        <cdr:cNvSpPr txBox="1"/>
      </cdr:nvSpPr>
      <cdr:spPr>
        <a:xfrm xmlns:a="http://schemas.openxmlformats.org/drawingml/2006/main">
          <a:off x="1369219" y="476249"/>
          <a:ext cx="5516562" cy="496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0.51503</cdr:x>
      <cdr:y>0.02801</cdr:y>
    </cdr:from>
    <cdr:to>
      <cdr:x>0.61979</cdr:x>
      <cdr:y>0.06443</cdr:y>
    </cdr:to>
    <cdr:sp macro="" textlink="">
      <cdr:nvSpPr>
        <cdr:cNvPr id="1049" name="ZoneTexte 5"/>
        <cdr:cNvSpPr txBox="1"/>
      </cdr:nvSpPr>
      <cdr:spPr>
        <a:xfrm xmlns:a="http://schemas.openxmlformats.org/drawingml/2006/main">
          <a:off x="5268516" y="198438"/>
          <a:ext cx="1071562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0.32556</cdr:x>
      <cdr:y>0.09384</cdr:y>
    </cdr:from>
    <cdr:to>
      <cdr:x>0.41512</cdr:x>
      <cdr:y>0.22291</cdr:y>
    </cdr:to>
    <cdr:sp macro="" textlink="">
      <cdr:nvSpPr>
        <cdr:cNvPr id="1050" name="ZoneTexte 6"/>
        <cdr:cNvSpPr txBox="1"/>
      </cdr:nvSpPr>
      <cdr:spPr>
        <a:xfrm xmlns:a="http://schemas.openxmlformats.org/drawingml/2006/main">
          <a:off x="3323828" y="66476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0.19433</cdr:x>
      <cdr:y>0.09518</cdr:y>
    </cdr:from>
    <cdr:to>
      <cdr:x>0.28387</cdr:x>
      <cdr:y>0.22419</cdr:y>
    </cdr:to>
    <cdr:sp macro="" textlink="">
      <cdr:nvSpPr>
        <cdr:cNvPr id="1051" name="ZoneTexte 7"/>
        <cdr:cNvSpPr txBox="1"/>
      </cdr:nvSpPr>
      <cdr:spPr>
        <a:xfrm xmlns:a="http://schemas.openxmlformats.org/drawingml/2006/main">
          <a:off x="1984375" y="67468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0.5645</cdr:x>
      <cdr:y>0.09664</cdr:y>
    </cdr:from>
    <cdr:to>
      <cdr:x>0.71969</cdr:x>
      <cdr:y>0.13025</cdr:y>
    </cdr:to>
    <cdr:sp macro="" textlink="">
      <cdr:nvSpPr>
        <cdr:cNvPr id="1052" name="ZoneTexte 8"/>
        <cdr:cNvSpPr txBox="1"/>
      </cdr:nvSpPr>
      <cdr:spPr>
        <a:xfrm xmlns:a="http://schemas.openxmlformats.org/drawingml/2006/main">
          <a:off x="5774525" y="684619"/>
          <a:ext cx="1587505" cy="2381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r>
            <a:rPr lang="fr-FR" sz="1100"/>
            <a:t>déclinaison magnétique:</a:t>
          </a:r>
        </a:p>
      </cdr:txBody>
    </cdr:sp>
  </cdr:relSizeAnchor>
  <cdr:relSizeAnchor xmlns:cdr="http://schemas.openxmlformats.org/drawingml/2006/chartDrawing">
    <cdr:from>
      <cdr:x>0.7226</cdr:x>
      <cdr:y>0.08543</cdr:y>
    </cdr:from>
    <cdr:to>
      <cdr:x>0.79728</cdr:x>
      <cdr:y>0.13445</cdr:y>
    </cdr:to>
    <cdr:sp macro="" textlink="">
      <cdr:nvSpPr>
        <cdr:cNvPr id="1053" name="ZoneTexte 9"/>
        <cdr:cNvSpPr txBox="1"/>
      </cdr:nvSpPr>
      <cdr:spPr>
        <a:xfrm xmlns:a="http://schemas.openxmlformats.org/drawingml/2006/main">
          <a:off x="7391797" y="605234"/>
          <a:ext cx="763984" cy="3472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0.72745</cdr:x>
      <cdr:y>0.09664</cdr:y>
    </cdr:from>
    <cdr:to>
      <cdr:x>0.80019</cdr:x>
      <cdr:y>0.13585</cdr:y>
    </cdr:to>
    <cdr:sp macro="" textlink="">
      <cdr:nvSpPr>
        <cdr:cNvPr id="1054" name="ZoneTexte 10"/>
        <cdr:cNvSpPr txBox="1"/>
      </cdr:nvSpPr>
      <cdr:spPr>
        <a:xfrm xmlns:a="http://schemas.openxmlformats.org/drawingml/2006/main">
          <a:off x="7441406" y="684609"/>
          <a:ext cx="744141" cy="277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0.09893</cdr:x>
      <cdr:y>0.92997</cdr:y>
    </cdr:from>
    <cdr:to>
      <cdr:x>0.1581</cdr:x>
      <cdr:y>0.993</cdr:y>
    </cdr:to>
    <cdr:sp macro="" textlink="">
      <cdr:nvSpPr>
        <cdr:cNvPr id="1055" name="ZoneTexte 4"/>
        <cdr:cNvSpPr txBox="1"/>
      </cdr:nvSpPr>
      <cdr:spPr>
        <a:xfrm xmlns:a="http://schemas.openxmlformats.org/drawingml/2006/main">
          <a:off x="1012031" y="6588124"/>
          <a:ext cx="605234" cy="4464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0.87275</cdr:x>
      <cdr:y>0.038</cdr:y>
    </cdr:from>
    <cdr:to>
      <cdr:x>0.99275</cdr:x>
      <cdr:y>0.1215</cdr:y>
    </cdr:to>
    <cdr:sp macro="" textlink="">
      <cdr:nvSpPr>
        <cdr:cNvPr id="1056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283969" y="272005"/>
          <a:ext cx="1141716" cy="59491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45720" tIns="32004" rIns="4572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 Baltic"/>
              <a:cs typeface="Arial Baltic"/>
            </a:rPr>
            <a:t>Latitude :</a:t>
          </a:r>
          <a:endParaRPr lang="fr-FR"/>
        </a:p>
      </cdr:txBody>
    </cdr:sp>
  </cdr:relSizeAnchor>
  <cdr:relSizeAnchor xmlns:cdr="http://schemas.openxmlformats.org/drawingml/2006/chartDrawing">
    <cdr:from>
      <cdr:x>0.89353</cdr:x>
      <cdr:y>0.07425</cdr:y>
    </cdr:from>
    <cdr:to>
      <cdr:x>0.96451</cdr:x>
      <cdr:y>0.1215</cdr:y>
    </cdr:to>
    <cdr:sp macro="" textlink="[0]!Latitude" fLocksText="0">
      <cdr:nvSpPr>
        <cdr:cNvPr id="1057" name="Text Box 5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 flipV="1">
          <a:off x="8493125" y="472959"/>
          <a:ext cx="674688" cy="300975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 xmlns:a="http://schemas.openxmlformats.org/drawingml/2006/main">
          <a:noFill/>
        </a:ln>
        <a:extLst xmlns:a="http://schemas.openxmlformats.org/drawingml/2006/main"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45720" tIns="32004" rIns="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B332E5A5-ED42-4805-82AB-0547F1DF0CF9}" type="TxLink"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66,56278</a:t>
          </a:fld>
          <a:endParaRPr lang="fr-FR"/>
        </a:p>
      </cdr:txBody>
    </cdr:sp>
  </cdr:relSizeAnchor>
  <cdr:relSizeAnchor xmlns:cdr="http://schemas.openxmlformats.org/drawingml/2006/chartDrawing">
    <cdr:from>
      <cdr:x>0.61564</cdr:x>
      <cdr:y>0.04482</cdr:y>
    </cdr:from>
    <cdr:to>
      <cdr:x>0.8526</cdr:x>
      <cdr:y>0.08543</cdr:y>
    </cdr:to>
    <cdr:sp macro="" textlink="[0]!Ville_ref">
      <cdr:nvSpPr>
        <cdr:cNvPr id="1058" name="ZoneTexte 1"/>
        <cdr:cNvSpPr txBox="1"/>
      </cdr:nvSpPr>
      <cdr:spPr>
        <a:xfrm xmlns:a="http://schemas.openxmlformats.org/drawingml/2006/main">
          <a:off x="6297659" y="317500"/>
          <a:ext cx="2423971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229DAFC2-A343-4115-ADE7-B907F4E955F0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Cercle Arctique</a:t>
          </a:fld>
          <a:endParaRPr lang="fr-FR" sz="1400"/>
        </a:p>
      </cdr:txBody>
    </cdr:sp>
  </cdr:relSizeAnchor>
  <cdr:relSizeAnchor xmlns:cdr="http://schemas.openxmlformats.org/drawingml/2006/chartDrawing">
    <cdr:from>
      <cdr:x>0.4668</cdr:x>
      <cdr:y>0.94698</cdr:y>
    </cdr:from>
    <cdr:to>
      <cdr:x>0.70221</cdr:x>
      <cdr:y>0.98527</cdr:y>
    </cdr:to>
    <cdr:sp macro="" textlink="">
      <cdr:nvSpPr>
        <cdr:cNvPr id="1059" name="ZoneTexte 2"/>
        <cdr:cNvSpPr txBox="1"/>
      </cdr:nvSpPr>
      <cdr:spPr>
        <a:xfrm xmlns:a="http://schemas.openxmlformats.org/drawingml/2006/main">
          <a:off x="4603750" y="6379766"/>
          <a:ext cx="2321719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000"/>
        </a:p>
      </cdr:txBody>
    </cdr:sp>
  </cdr:relSizeAnchor>
  <cdr:relSizeAnchor xmlns:cdr="http://schemas.openxmlformats.org/drawingml/2006/chartDrawing">
    <cdr:from>
      <cdr:x>0.13411</cdr:x>
      <cdr:y>0.06723</cdr:y>
    </cdr:from>
    <cdr:to>
      <cdr:x>0.67444</cdr:x>
      <cdr:y>0.13725</cdr:y>
    </cdr:to>
    <cdr:sp macro="" textlink="">
      <cdr:nvSpPr>
        <cdr:cNvPr id="1060" name="ZoneTexte 3"/>
        <cdr:cNvSpPr txBox="1"/>
      </cdr:nvSpPr>
      <cdr:spPr>
        <a:xfrm xmlns:a="http://schemas.openxmlformats.org/drawingml/2006/main">
          <a:off x="1369219" y="476249"/>
          <a:ext cx="5516562" cy="496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0.51503</cdr:x>
      <cdr:y>0.02801</cdr:y>
    </cdr:from>
    <cdr:to>
      <cdr:x>0.61979</cdr:x>
      <cdr:y>0.06443</cdr:y>
    </cdr:to>
    <cdr:sp macro="" textlink="">
      <cdr:nvSpPr>
        <cdr:cNvPr id="1061" name="ZoneTexte 5"/>
        <cdr:cNvSpPr txBox="1"/>
      </cdr:nvSpPr>
      <cdr:spPr>
        <a:xfrm xmlns:a="http://schemas.openxmlformats.org/drawingml/2006/main">
          <a:off x="5268516" y="198438"/>
          <a:ext cx="1071562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0.32556</cdr:x>
      <cdr:y>0.09384</cdr:y>
    </cdr:from>
    <cdr:to>
      <cdr:x>0.41512</cdr:x>
      <cdr:y>0.22291</cdr:y>
    </cdr:to>
    <cdr:sp macro="" textlink="">
      <cdr:nvSpPr>
        <cdr:cNvPr id="1062" name="ZoneTexte 6"/>
        <cdr:cNvSpPr txBox="1"/>
      </cdr:nvSpPr>
      <cdr:spPr>
        <a:xfrm xmlns:a="http://schemas.openxmlformats.org/drawingml/2006/main">
          <a:off x="3323828" y="66476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0.19433</cdr:x>
      <cdr:y>0.09518</cdr:y>
    </cdr:from>
    <cdr:to>
      <cdr:x>0.28387</cdr:x>
      <cdr:y>0.22419</cdr:y>
    </cdr:to>
    <cdr:sp macro="" textlink="">
      <cdr:nvSpPr>
        <cdr:cNvPr id="1063" name="ZoneTexte 7"/>
        <cdr:cNvSpPr txBox="1"/>
      </cdr:nvSpPr>
      <cdr:spPr>
        <a:xfrm xmlns:a="http://schemas.openxmlformats.org/drawingml/2006/main">
          <a:off x="1984375" y="67468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0.5645</cdr:x>
      <cdr:y>0.09664</cdr:y>
    </cdr:from>
    <cdr:to>
      <cdr:x>0.71969</cdr:x>
      <cdr:y>0.13025</cdr:y>
    </cdr:to>
    <cdr:sp macro="" textlink="">
      <cdr:nvSpPr>
        <cdr:cNvPr id="1064" name="ZoneTexte 8"/>
        <cdr:cNvSpPr txBox="1"/>
      </cdr:nvSpPr>
      <cdr:spPr>
        <a:xfrm xmlns:a="http://schemas.openxmlformats.org/drawingml/2006/main">
          <a:off x="5774525" y="684619"/>
          <a:ext cx="1587505" cy="2381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r>
            <a:rPr lang="fr-FR" sz="1100"/>
            <a:t>déclinaison magnétique:</a:t>
          </a:r>
        </a:p>
      </cdr:txBody>
    </cdr:sp>
  </cdr:relSizeAnchor>
  <cdr:relSizeAnchor xmlns:cdr="http://schemas.openxmlformats.org/drawingml/2006/chartDrawing">
    <cdr:from>
      <cdr:x>0.7226</cdr:x>
      <cdr:y>0.08543</cdr:y>
    </cdr:from>
    <cdr:to>
      <cdr:x>0.79728</cdr:x>
      <cdr:y>0.13445</cdr:y>
    </cdr:to>
    <cdr:sp macro="" textlink="">
      <cdr:nvSpPr>
        <cdr:cNvPr id="1065" name="ZoneTexte 9"/>
        <cdr:cNvSpPr txBox="1"/>
      </cdr:nvSpPr>
      <cdr:spPr>
        <a:xfrm xmlns:a="http://schemas.openxmlformats.org/drawingml/2006/main">
          <a:off x="7391797" y="605234"/>
          <a:ext cx="763984" cy="3472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0.72745</cdr:x>
      <cdr:y>0.09664</cdr:y>
    </cdr:from>
    <cdr:to>
      <cdr:x>0.80019</cdr:x>
      <cdr:y>0.13585</cdr:y>
    </cdr:to>
    <cdr:sp macro="" textlink="">
      <cdr:nvSpPr>
        <cdr:cNvPr id="1066" name="ZoneTexte 10"/>
        <cdr:cNvSpPr txBox="1"/>
      </cdr:nvSpPr>
      <cdr:spPr>
        <a:xfrm xmlns:a="http://schemas.openxmlformats.org/drawingml/2006/main">
          <a:off x="7441406" y="684609"/>
          <a:ext cx="744141" cy="277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0.09893</cdr:x>
      <cdr:y>0.92997</cdr:y>
    </cdr:from>
    <cdr:to>
      <cdr:x>0.1581</cdr:x>
      <cdr:y>0.993</cdr:y>
    </cdr:to>
    <cdr:sp macro="" textlink="">
      <cdr:nvSpPr>
        <cdr:cNvPr id="1067" name="ZoneTexte 4"/>
        <cdr:cNvSpPr txBox="1"/>
      </cdr:nvSpPr>
      <cdr:spPr>
        <a:xfrm xmlns:a="http://schemas.openxmlformats.org/drawingml/2006/main">
          <a:off x="1012031" y="6588124"/>
          <a:ext cx="605234" cy="4464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0.67798</cdr:x>
      <cdr:y>0.93277</cdr:y>
    </cdr:from>
    <cdr:to>
      <cdr:x>0.75204</cdr:x>
      <cdr:y>0.9972</cdr:y>
    </cdr:to>
    <cdr:sp macro="" textlink="">
      <cdr:nvSpPr>
        <cdr:cNvPr id="1068" name="ZoneTexte 1035"/>
        <cdr:cNvSpPr txBox="1"/>
      </cdr:nvSpPr>
      <cdr:spPr>
        <a:xfrm xmlns:a="http://schemas.openxmlformats.org/drawingml/2006/main">
          <a:off x="6923214" y="6611660"/>
          <a:ext cx="756317" cy="4566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Ouest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0.72192</cdr:x>
      <cdr:y>0.09518</cdr:y>
    </cdr:from>
    <cdr:to>
      <cdr:x>0.78799</cdr:x>
      <cdr:y>0.13578</cdr:y>
    </cdr:to>
    <cdr:sp macro="" textlink="">
      <cdr:nvSpPr>
        <cdr:cNvPr id="1069" name="ZoneTexte 1036"/>
        <cdr:cNvSpPr txBox="1"/>
      </cdr:nvSpPr>
      <cdr:spPr>
        <a:xfrm xmlns:a="http://schemas.openxmlformats.org/drawingml/2006/main">
          <a:off x="7371953" y="674688"/>
          <a:ext cx="674688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0.87275</cdr:x>
      <cdr:y>0.038</cdr:y>
    </cdr:from>
    <cdr:to>
      <cdr:x>0.99275</cdr:x>
      <cdr:y>0.1215</cdr:y>
    </cdr:to>
    <cdr:sp macro="" textlink="">
      <cdr:nvSpPr>
        <cdr:cNvPr id="1070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283969" y="272005"/>
          <a:ext cx="1141716" cy="59491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45720" tIns="32004" rIns="4572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 Baltic"/>
              <a:cs typeface="Arial Baltic"/>
            </a:rPr>
            <a:t>Latitude :</a:t>
          </a:r>
          <a:endParaRPr lang="fr-FR"/>
        </a:p>
      </cdr:txBody>
    </cdr:sp>
  </cdr:relSizeAnchor>
  <cdr:relSizeAnchor xmlns:cdr="http://schemas.openxmlformats.org/drawingml/2006/chartDrawing">
    <cdr:from>
      <cdr:x>0.89353</cdr:x>
      <cdr:y>0.07425</cdr:y>
    </cdr:from>
    <cdr:to>
      <cdr:x>0.96451</cdr:x>
      <cdr:y>0.1215</cdr:y>
    </cdr:to>
    <cdr:sp macro="" textlink="Calculs!$B$5" fLocksText="0">
      <cdr:nvSpPr>
        <cdr:cNvPr id="1071" name="Text Box 5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 flipV="1">
          <a:off x="8493125" y="472959"/>
          <a:ext cx="674688" cy="300975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 xmlns:a="http://schemas.openxmlformats.org/drawingml/2006/main">
          <a:noFill/>
        </a:ln>
        <a:extLst xmlns:a="http://schemas.openxmlformats.org/drawingml/2006/main"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45720" tIns="32004" rIns="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1887D23E-136C-4081-8E2D-EF0D085CABB0}" type="TxLink"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66,56278</a:t>
          </a:fld>
          <a:endParaRPr lang="fr-FR"/>
        </a:p>
      </cdr:txBody>
    </cdr:sp>
  </cdr:relSizeAnchor>
  <cdr:relSizeAnchor xmlns:cdr="http://schemas.openxmlformats.org/drawingml/2006/chartDrawing">
    <cdr:from>
      <cdr:x>0.61564</cdr:x>
      <cdr:y>0.04482</cdr:y>
    </cdr:from>
    <cdr:to>
      <cdr:x>0.8526</cdr:x>
      <cdr:y>0.08543</cdr:y>
    </cdr:to>
    <cdr:sp macro="" textlink="[0]!Ville_ref">
      <cdr:nvSpPr>
        <cdr:cNvPr id="1072" name="ZoneTexte 1"/>
        <cdr:cNvSpPr txBox="1"/>
      </cdr:nvSpPr>
      <cdr:spPr>
        <a:xfrm xmlns:a="http://schemas.openxmlformats.org/drawingml/2006/main">
          <a:off x="6297659" y="317500"/>
          <a:ext cx="2423971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229DAFC2-A343-4115-ADE7-B907F4E955F0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Cercle Arctique</a:t>
          </a:fld>
          <a:endParaRPr lang="fr-FR" sz="1400"/>
        </a:p>
      </cdr:txBody>
    </cdr:sp>
  </cdr:relSizeAnchor>
  <cdr:relSizeAnchor xmlns:cdr="http://schemas.openxmlformats.org/drawingml/2006/chartDrawing">
    <cdr:from>
      <cdr:x>0.4668</cdr:x>
      <cdr:y>0.94698</cdr:y>
    </cdr:from>
    <cdr:to>
      <cdr:x>0.70221</cdr:x>
      <cdr:y>0.98527</cdr:y>
    </cdr:to>
    <cdr:sp macro="" textlink="">
      <cdr:nvSpPr>
        <cdr:cNvPr id="1073" name="ZoneTexte 2"/>
        <cdr:cNvSpPr txBox="1"/>
      </cdr:nvSpPr>
      <cdr:spPr>
        <a:xfrm xmlns:a="http://schemas.openxmlformats.org/drawingml/2006/main">
          <a:off x="4603750" y="6379766"/>
          <a:ext cx="2321719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000"/>
        </a:p>
      </cdr:txBody>
    </cdr:sp>
  </cdr:relSizeAnchor>
  <cdr:relSizeAnchor xmlns:cdr="http://schemas.openxmlformats.org/drawingml/2006/chartDrawing">
    <cdr:from>
      <cdr:x>0.13411</cdr:x>
      <cdr:y>0.06723</cdr:y>
    </cdr:from>
    <cdr:to>
      <cdr:x>0.67444</cdr:x>
      <cdr:y>0.13725</cdr:y>
    </cdr:to>
    <cdr:sp macro="" textlink="">
      <cdr:nvSpPr>
        <cdr:cNvPr id="1074" name="ZoneTexte 3"/>
        <cdr:cNvSpPr txBox="1"/>
      </cdr:nvSpPr>
      <cdr:spPr>
        <a:xfrm xmlns:a="http://schemas.openxmlformats.org/drawingml/2006/main">
          <a:off x="1369219" y="476249"/>
          <a:ext cx="5516562" cy="496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0.51503</cdr:x>
      <cdr:y>0.02801</cdr:y>
    </cdr:from>
    <cdr:to>
      <cdr:x>0.61979</cdr:x>
      <cdr:y>0.06443</cdr:y>
    </cdr:to>
    <cdr:sp macro="" textlink="">
      <cdr:nvSpPr>
        <cdr:cNvPr id="1075" name="ZoneTexte 5"/>
        <cdr:cNvSpPr txBox="1"/>
      </cdr:nvSpPr>
      <cdr:spPr>
        <a:xfrm xmlns:a="http://schemas.openxmlformats.org/drawingml/2006/main">
          <a:off x="5268516" y="198438"/>
          <a:ext cx="1071562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0.32556</cdr:x>
      <cdr:y>0.09384</cdr:y>
    </cdr:from>
    <cdr:to>
      <cdr:x>0.41512</cdr:x>
      <cdr:y>0.22291</cdr:y>
    </cdr:to>
    <cdr:sp macro="" textlink="">
      <cdr:nvSpPr>
        <cdr:cNvPr id="1076" name="ZoneTexte 6"/>
        <cdr:cNvSpPr txBox="1"/>
      </cdr:nvSpPr>
      <cdr:spPr>
        <a:xfrm xmlns:a="http://schemas.openxmlformats.org/drawingml/2006/main">
          <a:off x="3323828" y="66476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0.19433</cdr:x>
      <cdr:y>0.09518</cdr:y>
    </cdr:from>
    <cdr:to>
      <cdr:x>0.28387</cdr:x>
      <cdr:y>0.22419</cdr:y>
    </cdr:to>
    <cdr:sp macro="" textlink="">
      <cdr:nvSpPr>
        <cdr:cNvPr id="1077" name="ZoneTexte 7"/>
        <cdr:cNvSpPr txBox="1"/>
      </cdr:nvSpPr>
      <cdr:spPr>
        <a:xfrm xmlns:a="http://schemas.openxmlformats.org/drawingml/2006/main">
          <a:off x="1984375" y="67468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0.5645</cdr:x>
      <cdr:y>0.09664</cdr:y>
    </cdr:from>
    <cdr:to>
      <cdr:x>0.71969</cdr:x>
      <cdr:y>0.13025</cdr:y>
    </cdr:to>
    <cdr:sp macro="" textlink="">
      <cdr:nvSpPr>
        <cdr:cNvPr id="1078" name="ZoneTexte 8"/>
        <cdr:cNvSpPr txBox="1"/>
      </cdr:nvSpPr>
      <cdr:spPr>
        <a:xfrm xmlns:a="http://schemas.openxmlformats.org/drawingml/2006/main">
          <a:off x="5774525" y="684619"/>
          <a:ext cx="1587505" cy="2381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r>
            <a:rPr lang="fr-FR" sz="1100"/>
            <a:t>déclinaison magnétique:</a:t>
          </a:r>
        </a:p>
      </cdr:txBody>
    </cdr:sp>
  </cdr:relSizeAnchor>
  <cdr:relSizeAnchor xmlns:cdr="http://schemas.openxmlformats.org/drawingml/2006/chartDrawing">
    <cdr:from>
      <cdr:x>0.7226</cdr:x>
      <cdr:y>0.08543</cdr:y>
    </cdr:from>
    <cdr:to>
      <cdr:x>0.79728</cdr:x>
      <cdr:y>0.13445</cdr:y>
    </cdr:to>
    <cdr:sp macro="" textlink="">
      <cdr:nvSpPr>
        <cdr:cNvPr id="1079" name="ZoneTexte 9"/>
        <cdr:cNvSpPr txBox="1"/>
      </cdr:nvSpPr>
      <cdr:spPr>
        <a:xfrm xmlns:a="http://schemas.openxmlformats.org/drawingml/2006/main">
          <a:off x="7391797" y="605234"/>
          <a:ext cx="763984" cy="3472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0.72745</cdr:x>
      <cdr:y>0.09664</cdr:y>
    </cdr:from>
    <cdr:to>
      <cdr:x>0.80019</cdr:x>
      <cdr:y>0.13585</cdr:y>
    </cdr:to>
    <cdr:sp macro="" textlink="">
      <cdr:nvSpPr>
        <cdr:cNvPr id="1080" name="ZoneTexte 10"/>
        <cdr:cNvSpPr txBox="1"/>
      </cdr:nvSpPr>
      <cdr:spPr>
        <a:xfrm xmlns:a="http://schemas.openxmlformats.org/drawingml/2006/main">
          <a:off x="7441406" y="684609"/>
          <a:ext cx="744141" cy="277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0.09893</cdr:x>
      <cdr:y>0.92997</cdr:y>
    </cdr:from>
    <cdr:to>
      <cdr:x>0.1581</cdr:x>
      <cdr:y>0.993</cdr:y>
    </cdr:to>
    <cdr:sp macro="" textlink="">
      <cdr:nvSpPr>
        <cdr:cNvPr id="1081" name="ZoneTexte 4"/>
        <cdr:cNvSpPr txBox="1"/>
      </cdr:nvSpPr>
      <cdr:spPr>
        <a:xfrm xmlns:a="http://schemas.openxmlformats.org/drawingml/2006/main">
          <a:off x="1012031" y="6588124"/>
          <a:ext cx="605234" cy="4464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0.87275</cdr:x>
      <cdr:y>0.038</cdr:y>
    </cdr:from>
    <cdr:to>
      <cdr:x>0.99275</cdr:x>
      <cdr:y>0.1215</cdr:y>
    </cdr:to>
    <cdr:sp macro="" textlink="">
      <cdr:nvSpPr>
        <cdr:cNvPr id="1082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283969" y="272005"/>
          <a:ext cx="1141716" cy="59491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45720" tIns="32004" rIns="4572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 Baltic"/>
              <a:cs typeface="Arial Baltic"/>
            </a:rPr>
            <a:t>Latitude :</a:t>
          </a:r>
          <a:endParaRPr lang="fr-FR"/>
        </a:p>
      </cdr:txBody>
    </cdr:sp>
  </cdr:relSizeAnchor>
  <cdr:relSizeAnchor xmlns:cdr="http://schemas.openxmlformats.org/drawingml/2006/chartDrawing">
    <cdr:from>
      <cdr:x>0.89353</cdr:x>
      <cdr:y>0.07425</cdr:y>
    </cdr:from>
    <cdr:to>
      <cdr:x>0.96451</cdr:x>
      <cdr:y>0.1215</cdr:y>
    </cdr:to>
    <cdr:sp macro="" textlink="Calculs!$B$5" fLocksText="0">
      <cdr:nvSpPr>
        <cdr:cNvPr id="1083" name="Text Box 5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 flipV="1">
          <a:off x="8493125" y="472959"/>
          <a:ext cx="674688" cy="300975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 xmlns:a="http://schemas.openxmlformats.org/drawingml/2006/main">
          <a:noFill/>
        </a:ln>
        <a:extLst xmlns:a="http://schemas.openxmlformats.org/drawingml/2006/main"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45720" tIns="32004" rIns="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1887D23E-136C-4081-8E2D-EF0D085CABB0}" type="TxLink"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66,56278</a:t>
          </a:fld>
          <a:endParaRPr lang="fr-FR"/>
        </a:p>
      </cdr:txBody>
    </cdr:sp>
  </cdr:relSizeAnchor>
  <cdr:relSizeAnchor xmlns:cdr="http://schemas.openxmlformats.org/drawingml/2006/chartDrawing">
    <cdr:from>
      <cdr:x>0.61564</cdr:x>
      <cdr:y>0.04482</cdr:y>
    </cdr:from>
    <cdr:to>
      <cdr:x>0.8526</cdr:x>
      <cdr:y>0.08543</cdr:y>
    </cdr:to>
    <cdr:sp macro="" textlink="[0]!Ville_ref">
      <cdr:nvSpPr>
        <cdr:cNvPr id="1084" name="ZoneTexte 1"/>
        <cdr:cNvSpPr txBox="1"/>
      </cdr:nvSpPr>
      <cdr:spPr>
        <a:xfrm xmlns:a="http://schemas.openxmlformats.org/drawingml/2006/main">
          <a:off x="6297659" y="317500"/>
          <a:ext cx="2423971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229DAFC2-A343-4115-ADE7-B907F4E955F0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Cercle Arctique</a:t>
          </a:fld>
          <a:endParaRPr lang="fr-FR" sz="1400"/>
        </a:p>
      </cdr:txBody>
    </cdr:sp>
  </cdr:relSizeAnchor>
  <cdr:relSizeAnchor xmlns:cdr="http://schemas.openxmlformats.org/drawingml/2006/chartDrawing">
    <cdr:from>
      <cdr:x>0.4668</cdr:x>
      <cdr:y>0.94698</cdr:y>
    </cdr:from>
    <cdr:to>
      <cdr:x>0.70221</cdr:x>
      <cdr:y>0.98527</cdr:y>
    </cdr:to>
    <cdr:sp macro="" textlink="">
      <cdr:nvSpPr>
        <cdr:cNvPr id="1085" name="ZoneTexte 2"/>
        <cdr:cNvSpPr txBox="1"/>
      </cdr:nvSpPr>
      <cdr:spPr>
        <a:xfrm xmlns:a="http://schemas.openxmlformats.org/drawingml/2006/main">
          <a:off x="4603750" y="6379766"/>
          <a:ext cx="2321719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000"/>
        </a:p>
      </cdr:txBody>
    </cdr:sp>
  </cdr:relSizeAnchor>
  <cdr:relSizeAnchor xmlns:cdr="http://schemas.openxmlformats.org/drawingml/2006/chartDrawing">
    <cdr:from>
      <cdr:x>0.13411</cdr:x>
      <cdr:y>0.06723</cdr:y>
    </cdr:from>
    <cdr:to>
      <cdr:x>0.67444</cdr:x>
      <cdr:y>0.13725</cdr:y>
    </cdr:to>
    <cdr:sp macro="" textlink="">
      <cdr:nvSpPr>
        <cdr:cNvPr id="1086" name="ZoneTexte 3"/>
        <cdr:cNvSpPr txBox="1"/>
      </cdr:nvSpPr>
      <cdr:spPr>
        <a:xfrm xmlns:a="http://schemas.openxmlformats.org/drawingml/2006/main">
          <a:off x="1369219" y="476249"/>
          <a:ext cx="5516562" cy="496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0.51503</cdr:x>
      <cdr:y>0.02801</cdr:y>
    </cdr:from>
    <cdr:to>
      <cdr:x>0.61979</cdr:x>
      <cdr:y>0.06443</cdr:y>
    </cdr:to>
    <cdr:sp macro="" textlink="">
      <cdr:nvSpPr>
        <cdr:cNvPr id="1087" name="ZoneTexte 5"/>
        <cdr:cNvSpPr txBox="1"/>
      </cdr:nvSpPr>
      <cdr:spPr>
        <a:xfrm xmlns:a="http://schemas.openxmlformats.org/drawingml/2006/main">
          <a:off x="5268516" y="198438"/>
          <a:ext cx="1071562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0.32556</cdr:x>
      <cdr:y>0.09384</cdr:y>
    </cdr:from>
    <cdr:to>
      <cdr:x>0.41512</cdr:x>
      <cdr:y>0.22291</cdr:y>
    </cdr:to>
    <cdr:sp macro="" textlink="">
      <cdr:nvSpPr>
        <cdr:cNvPr id="1088" name="ZoneTexte 6"/>
        <cdr:cNvSpPr txBox="1"/>
      </cdr:nvSpPr>
      <cdr:spPr>
        <a:xfrm xmlns:a="http://schemas.openxmlformats.org/drawingml/2006/main">
          <a:off x="3323828" y="66476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0.19433</cdr:x>
      <cdr:y>0.09518</cdr:y>
    </cdr:from>
    <cdr:to>
      <cdr:x>0.28387</cdr:x>
      <cdr:y>0.22419</cdr:y>
    </cdr:to>
    <cdr:sp macro="" textlink="">
      <cdr:nvSpPr>
        <cdr:cNvPr id="1089" name="ZoneTexte 7"/>
        <cdr:cNvSpPr txBox="1"/>
      </cdr:nvSpPr>
      <cdr:spPr>
        <a:xfrm xmlns:a="http://schemas.openxmlformats.org/drawingml/2006/main">
          <a:off x="1984375" y="67468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0.5645</cdr:x>
      <cdr:y>0.09664</cdr:y>
    </cdr:from>
    <cdr:to>
      <cdr:x>0.71969</cdr:x>
      <cdr:y>0.13025</cdr:y>
    </cdr:to>
    <cdr:sp macro="" textlink="">
      <cdr:nvSpPr>
        <cdr:cNvPr id="1090" name="ZoneTexte 8"/>
        <cdr:cNvSpPr txBox="1"/>
      </cdr:nvSpPr>
      <cdr:spPr>
        <a:xfrm xmlns:a="http://schemas.openxmlformats.org/drawingml/2006/main">
          <a:off x="5774525" y="684619"/>
          <a:ext cx="1587505" cy="2381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r>
            <a:rPr lang="fr-FR" sz="1100"/>
            <a:t>déclinaison magnétique:</a:t>
          </a:r>
        </a:p>
      </cdr:txBody>
    </cdr:sp>
  </cdr:relSizeAnchor>
  <cdr:relSizeAnchor xmlns:cdr="http://schemas.openxmlformats.org/drawingml/2006/chartDrawing">
    <cdr:from>
      <cdr:x>0.7226</cdr:x>
      <cdr:y>0.08543</cdr:y>
    </cdr:from>
    <cdr:to>
      <cdr:x>0.79728</cdr:x>
      <cdr:y>0.13445</cdr:y>
    </cdr:to>
    <cdr:sp macro="" textlink="">
      <cdr:nvSpPr>
        <cdr:cNvPr id="1091" name="ZoneTexte 9"/>
        <cdr:cNvSpPr txBox="1"/>
      </cdr:nvSpPr>
      <cdr:spPr>
        <a:xfrm xmlns:a="http://schemas.openxmlformats.org/drawingml/2006/main">
          <a:off x="7391797" y="605234"/>
          <a:ext cx="763984" cy="3472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0.72745</cdr:x>
      <cdr:y>0.09664</cdr:y>
    </cdr:from>
    <cdr:to>
      <cdr:x>0.80019</cdr:x>
      <cdr:y>0.13585</cdr:y>
    </cdr:to>
    <cdr:sp macro="" textlink="">
      <cdr:nvSpPr>
        <cdr:cNvPr id="1092" name="ZoneTexte 10"/>
        <cdr:cNvSpPr txBox="1"/>
      </cdr:nvSpPr>
      <cdr:spPr>
        <a:xfrm xmlns:a="http://schemas.openxmlformats.org/drawingml/2006/main">
          <a:off x="7441406" y="684609"/>
          <a:ext cx="744141" cy="277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0.09893</cdr:x>
      <cdr:y>0.92997</cdr:y>
    </cdr:from>
    <cdr:to>
      <cdr:x>0.1581</cdr:x>
      <cdr:y>0.993</cdr:y>
    </cdr:to>
    <cdr:sp macro="" textlink="">
      <cdr:nvSpPr>
        <cdr:cNvPr id="1093" name="ZoneTexte 4"/>
        <cdr:cNvSpPr txBox="1"/>
      </cdr:nvSpPr>
      <cdr:spPr>
        <a:xfrm xmlns:a="http://schemas.openxmlformats.org/drawingml/2006/main">
          <a:off x="1012031" y="6588124"/>
          <a:ext cx="605234" cy="4464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0.87275</cdr:x>
      <cdr:y>0.038</cdr:y>
    </cdr:from>
    <cdr:to>
      <cdr:x>0.99275</cdr:x>
      <cdr:y>0.1215</cdr:y>
    </cdr:to>
    <cdr:sp macro="" textlink="">
      <cdr:nvSpPr>
        <cdr:cNvPr id="1094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283969" y="272005"/>
          <a:ext cx="1141716" cy="59491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45720" tIns="32004" rIns="4572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 Baltic"/>
              <a:cs typeface="Arial Baltic"/>
            </a:rPr>
            <a:t>Latitude :</a:t>
          </a:r>
          <a:endParaRPr lang="fr-FR"/>
        </a:p>
      </cdr:txBody>
    </cdr:sp>
  </cdr:relSizeAnchor>
  <cdr:relSizeAnchor xmlns:cdr="http://schemas.openxmlformats.org/drawingml/2006/chartDrawing">
    <cdr:from>
      <cdr:x>0.89353</cdr:x>
      <cdr:y>0.07425</cdr:y>
    </cdr:from>
    <cdr:to>
      <cdr:x>0.96451</cdr:x>
      <cdr:y>0.1215</cdr:y>
    </cdr:to>
    <cdr:sp macro="" textlink="[0]!Latitude" fLocksText="0">
      <cdr:nvSpPr>
        <cdr:cNvPr id="1095" name="Text Box 5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 flipV="1">
          <a:off x="8493125" y="472959"/>
          <a:ext cx="674688" cy="300975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 xmlns:a="http://schemas.openxmlformats.org/drawingml/2006/main">
          <a:noFill/>
        </a:ln>
        <a:extLst xmlns:a="http://schemas.openxmlformats.org/drawingml/2006/main"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45720" tIns="32004" rIns="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B332E5A5-ED42-4805-82AB-0547F1DF0CF9}" type="TxLink"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66,56278</a:t>
          </a:fld>
          <a:endParaRPr lang="fr-FR"/>
        </a:p>
      </cdr:txBody>
    </cdr:sp>
  </cdr:relSizeAnchor>
  <cdr:relSizeAnchor xmlns:cdr="http://schemas.openxmlformats.org/drawingml/2006/chartDrawing">
    <cdr:from>
      <cdr:x>0.61564</cdr:x>
      <cdr:y>0.04482</cdr:y>
    </cdr:from>
    <cdr:to>
      <cdr:x>0.8526</cdr:x>
      <cdr:y>0.08543</cdr:y>
    </cdr:to>
    <cdr:sp macro="" textlink="[0]!Ville_ref">
      <cdr:nvSpPr>
        <cdr:cNvPr id="1096" name="ZoneTexte 1"/>
        <cdr:cNvSpPr txBox="1"/>
      </cdr:nvSpPr>
      <cdr:spPr>
        <a:xfrm xmlns:a="http://schemas.openxmlformats.org/drawingml/2006/main">
          <a:off x="6297659" y="317500"/>
          <a:ext cx="2423971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229DAFC2-A343-4115-ADE7-B907F4E955F0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Cercle Arctique</a:t>
          </a:fld>
          <a:endParaRPr lang="fr-FR" sz="1400"/>
        </a:p>
      </cdr:txBody>
    </cdr:sp>
  </cdr:relSizeAnchor>
  <cdr:relSizeAnchor xmlns:cdr="http://schemas.openxmlformats.org/drawingml/2006/chartDrawing">
    <cdr:from>
      <cdr:x>0.4668</cdr:x>
      <cdr:y>0.94698</cdr:y>
    </cdr:from>
    <cdr:to>
      <cdr:x>0.70221</cdr:x>
      <cdr:y>0.98527</cdr:y>
    </cdr:to>
    <cdr:sp macro="" textlink="">
      <cdr:nvSpPr>
        <cdr:cNvPr id="1097" name="ZoneTexte 2"/>
        <cdr:cNvSpPr txBox="1"/>
      </cdr:nvSpPr>
      <cdr:spPr>
        <a:xfrm xmlns:a="http://schemas.openxmlformats.org/drawingml/2006/main">
          <a:off x="4603750" y="6379766"/>
          <a:ext cx="2321719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000"/>
        </a:p>
      </cdr:txBody>
    </cdr:sp>
  </cdr:relSizeAnchor>
  <cdr:relSizeAnchor xmlns:cdr="http://schemas.openxmlformats.org/drawingml/2006/chartDrawing">
    <cdr:from>
      <cdr:x>0.13411</cdr:x>
      <cdr:y>0.06723</cdr:y>
    </cdr:from>
    <cdr:to>
      <cdr:x>0.67444</cdr:x>
      <cdr:y>0.13725</cdr:y>
    </cdr:to>
    <cdr:sp macro="" textlink="">
      <cdr:nvSpPr>
        <cdr:cNvPr id="1098" name="ZoneTexte 3"/>
        <cdr:cNvSpPr txBox="1"/>
      </cdr:nvSpPr>
      <cdr:spPr>
        <a:xfrm xmlns:a="http://schemas.openxmlformats.org/drawingml/2006/main">
          <a:off x="1369219" y="476249"/>
          <a:ext cx="5516562" cy="496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0.51503</cdr:x>
      <cdr:y>0.02801</cdr:y>
    </cdr:from>
    <cdr:to>
      <cdr:x>0.61979</cdr:x>
      <cdr:y>0.06443</cdr:y>
    </cdr:to>
    <cdr:sp macro="" textlink="">
      <cdr:nvSpPr>
        <cdr:cNvPr id="1099" name="ZoneTexte 5"/>
        <cdr:cNvSpPr txBox="1"/>
      </cdr:nvSpPr>
      <cdr:spPr>
        <a:xfrm xmlns:a="http://schemas.openxmlformats.org/drawingml/2006/main">
          <a:off x="5268516" y="198438"/>
          <a:ext cx="1071562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0.32556</cdr:x>
      <cdr:y>0.09384</cdr:y>
    </cdr:from>
    <cdr:to>
      <cdr:x>0.41512</cdr:x>
      <cdr:y>0.22291</cdr:y>
    </cdr:to>
    <cdr:sp macro="" textlink="">
      <cdr:nvSpPr>
        <cdr:cNvPr id="1100" name="ZoneTexte 6"/>
        <cdr:cNvSpPr txBox="1"/>
      </cdr:nvSpPr>
      <cdr:spPr>
        <a:xfrm xmlns:a="http://schemas.openxmlformats.org/drawingml/2006/main">
          <a:off x="3323828" y="66476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0.19433</cdr:x>
      <cdr:y>0.09518</cdr:y>
    </cdr:from>
    <cdr:to>
      <cdr:x>0.28387</cdr:x>
      <cdr:y>0.22419</cdr:y>
    </cdr:to>
    <cdr:sp macro="" textlink="">
      <cdr:nvSpPr>
        <cdr:cNvPr id="1101" name="ZoneTexte 7"/>
        <cdr:cNvSpPr txBox="1"/>
      </cdr:nvSpPr>
      <cdr:spPr>
        <a:xfrm xmlns:a="http://schemas.openxmlformats.org/drawingml/2006/main">
          <a:off x="1984375" y="67468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0.5645</cdr:x>
      <cdr:y>0.09664</cdr:y>
    </cdr:from>
    <cdr:to>
      <cdr:x>0.71969</cdr:x>
      <cdr:y>0.13025</cdr:y>
    </cdr:to>
    <cdr:sp macro="" textlink="">
      <cdr:nvSpPr>
        <cdr:cNvPr id="1102" name="ZoneTexte 8"/>
        <cdr:cNvSpPr txBox="1"/>
      </cdr:nvSpPr>
      <cdr:spPr>
        <a:xfrm xmlns:a="http://schemas.openxmlformats.org/drawingml/2006/main">
          <a:off x="5774525" y="684619"/>
          <a:ext cx="1587505" cy="2381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r>
            <a:rPr lang="fr-FR" sz="1100"/>
            <a:t>déclinaison magnétique:</a:t>
          </a:r>
        </a:p>
      </cdr:txBody>
    </cdr:sp>
  </cdr:relSizeAnchor>
  <cdr:relSizeAnchor xmlns:cdr="http://schemas.openxmlformats.org/drawingml/2006/chartDrawing">
    <cdr:from>
      <cdr:x>0.7226</cdr:x>
      <cdr:y>0.08543</cdr:y>
    </cdr:from>
    <cdr:to>
      <cdr:x>0.79728</cdr:x>
      <cdr:y>0.13445</cdr:y>
    </cdr:to>
    <cdr:sp macro="" textlink="">
      <cdr:nvSpPr>
        <cdr:cNvPr id="1103" name="ZoneTexte 9"/>
        <cdr:cNvSpPr txBox="1"/>
      </cdr:nvSpPr>
      <cdr:spPr>
        <a:xfrm xmlns:a="http://schemas.openxmlformats.org/drawingml/2006/main">
          <a:off x="7391797" y="605234"/>
          <a:ext cx="763984" cy="3472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0.72745</cdr:x>
      <cdr:y>0.09664</cdr:y>
    </cdr:from>
    <cdr:to>
      <cdr:x>0.80019</cdr:x>
      <cdr:y>0.13585</cdr:y>
    </cdr:to>
    <cdr:sp macro="" textlink="">
      <cdr:nvSpPr>
        <cdr:cNvPr id="1104" name="ZoneTexte 10"/>
        <cdr:cNvSpPr txBox="1"/>
      </cdr:nvSpPr>
      <cdr:spPr>
        <a:xfrm xmlns:a="http://schemas.openxmlformats.org/drawingml/2006/main">
          <a:off x="7441406" y="684609"/>
          <a:ext cx="744141" cy="277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0.09893</cdr:x>
      <cdr:y>0.92997</cdr:y>
    </cdr:from>
    <cdr:to>
      <cdr:x>0.1581</cdr:x>
      <cdr:y>0.993</cdr:y>
    </cdr:to>
    <cdr:sp macro="" textlink="">
      <cdr:nvSpPr>
        <cdr:cNvPr id="1105" name="ZoneTexte 4"/>
        <cdr:cNvSpPr txBox="1"/>
      </cdr:nvSpPr>
      <cdr:spPr>
        <a:xfrm xmlns:a="http://schemas.openxmlformats.org/drawingml/2006/main">
          <a:off x="1012031" y="6588124"/>
          <a:ext cx="605234" cy="4464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0.67798</cdr:x>
      <cdr:y>0.93277</cdr:y>
    </cdr:from>
    <cdr:to>
      <cdr:x>0.75204</cdr:x>
      <cdr:y>0.9972</cdr:y>
    </cdr:to>
    <cdr:sp macro="" textlink="">
      <cdr:nvSpPr>
        <cdr:cNvPr id="1106" name="ZoneTexte 1035"/>
        <cdr:cNvSpPr txBox="1"/>
      </cdr:nvSpPr>
      <cdr:spPr>
        <a:xfrm xmlns:a="http://schemas.openxmlformats.org/drawingml/2006/main">
          <a:off x="6923214" y="6611660"/>
          <a:ext cx="756317" cy="4566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Ouest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0.72192</cdr:x>
      <cdr:y>0.09518</cdr:y>
    </cdr:from>
    <cdr:to>
      <cdr:x>0.78799</cdr:x>
      <cdr:y>0.13578</cdr:y>
    </cdr:to>
    <cdr:sp macro="" textlink="">
      <cdr:nvSpPr>
        <cdr:cNvPr id="1107" name="ZoneTexte 1036"/>
        <cdr:cNvSpPr txBox="1"/>
      </cdr:nvSpPr>
      <cdr:spPr>
        <a:xfrm xmlns:a="http://schemas.openxmlformats.org/drawingml/2006/main">
          <a:off x="7371953" y="674688"/>
          <a:ext cx="674688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0.87275</cdr:x>
      <cdr:y>0.038</cdr:y>
    </cdr:from>
    <cdr:to>
      <cdr:x>0.99275</cdr:x>
      <cdr:y>0.1215</cdr:y>
    </cdr:to>
    <cdr:sp macro="" textlink="">
      <cdr:nvSpPr>
        <cdr:cNvPr id="1108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283969" y="272005"/>
          <a:ext cx="1141716" cy="59491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45720" tIns="32004" rIns="4572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 Baltic"/>
              <a:cs typeface="Arial Baltic"/>
            </a:rPr>
            <a:t>Latitude :</a:t>
          </a:r>
          <a:endParaRPr lang="fr-FR"/>
        </a:p>
      </cdr:txBody>
    </cdr:sp>
  </cdr:relSizeAnchor>
  <cdr:relSizeAnchor xmlns:cdr="http://schemas.openxmlformats.org/drawingml/2006/chartDrawing">
    <cdr:from>
      <cdr:x>0.89353</cdr:x>
      <cdr:y>0.07425</cdr:y>
    </cdr:from>
    <cdr:to>
      <cdr:x>0.96451</cdr:x>
      <cdr:y>0.1215</cdr:y>
    </cdr:to>
    <cdr:sp macro="" textlink="Calculs!$B$5" fLocksText="0">
      <cdr:nvSpPr>
        <cdr:cNvPr id="1109" name="Text Box 5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 flipV="1">
          <a:off x="8493125" y="472959"/>
          <a:ext cx="674688" cy="300975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 xmlns:a="http://schemas.openxmlformats.org/drawingml/2006/main">
          <a:noFill/>
        </a:ln>
        <a:extLst xmlns:a="http://schemas.openxmlformats.org/drawingml/2006/main"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45720" tIns="32004" rIns="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1887D23E-136C-4081-8E2D-EF0D085CABB0}" type="TxLink"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66,56278</a:t>
          </a:fld>
          <a:endParaRPr lang="fr-FR"/>
        </a:p>
      </cdr:txBody>
    </cdr:sp>
  </cdr:relSizeAnchor>
  <cdr:relSizeAnchor xmlns:cdr="http://schemas.openxmlformats.org/drawingml/2006/chartDrawing">
    <cdr:from>
      <cdr:x>0.61564</cdr:x>
      <cdr:y>0.04482</cdr:y>
    </cdr:from>
    <cdr:to>
      <cdr:x>0.8526</cdr:x>
      <cdr:y>0.08543</cdr:y>
    </cdr:to>
    <cdr:sp macro="" textlink="[0]!Ville_ref">
      <cdr:nvSpPr>
        <cdr:cNvPr id="1110" name="ZoneTexte 1"/>
        <cdr:cNvSpPr txBox="1"/>
      </cdr:nvSpPr>
      <cdr:spPr>
        <a:xfrm xmlns:a="http://schemas.openxmlformats.org/drawingml/2006/main">
          <a:off x="6297659" y="317500"/>
          <a:ext cx="2423971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229DAFC2-A343-4115-ADE7-B907F4E955F0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Cercle Arctique</a:t>
          </a:fld>
          <a:endParaRPr lang="fr-FR" sz="1400"/>
        </a:p>
      </cdr:txBody>
    </cdr:sp>
  </cdr:relSizeAnchor>
  <cdr:relSizeAnchor xmlns:cdr="http://schemas.openxmlformats.org/drawingml/2006/chartDrawing">
    <cdr:from>
      <cdr:x>0.4668</cdr:x>
      <cdr:y>0.94698</cdr:y>
    </cdr:from>
    <cdr:to>
      <cdr:x>0.70221</cdr:x>
      <cdr:y>0.98527</cdr:y>
    </cdr:to>
    <cdr:sp macro="" textlink="">
      <cdr:nvSpPr>
        <cdr:cNvPr id="1111" name="ZoneTexte 2"/>
        <cdr:cNvSpPr txBox="1"/>
      </cdr:nvSpPr>
      <cdr:spPr>
        <a:xfrm xmlns:a="http://schemas.openxmlformats.org/drawingml/2006/main">
          <a:off x="4603750" y="6379766"/>
          <a:ext cx="2321719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000"/>
        </a:p>
      </cdr:txBody>
    </cdr:sp>
  </cdr:relSizeAnchor>
  <cdr:relSizeAnchor xmlns:cdr="http://schemas.openxmlformats.org/drawingml/2006/chartDrawing">
    <cdr:from>
      <cdr:x>0.13411</cdr:x>
      <cdr:y>0.06723</cdr:y>
    </cdr:from>
    <cdr:to>
      <cdr:x>0.67444</cdr:x>
      <cdr:y>0.13725</cdr:y>
    </cdr:to>
    <cdr:sp macro="" textlink="">
      <cdr:nvSpPr>
        <cdr:cNvPr id="1112" name="ZoneTexte 3"/>
        <cdr:cNvSpPr txBox="1"/>
      </cdr:nvSpPr>
      <cdr:spPr>
        <a:xfrm xmlns:a="http://schemas.openxmlformats.org/drawingml/2006/main">
          <a:off x="1369219" y="476249"/>
          <a:ext cx="5516562" cy="496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0.51503</cdr:x>
      <cdr:y>0.02801</cdr:y>
    </cdr:from>
    <cdr:to>
      <cdr:x>0.61979</cdr:x>
      <cdr:y>0.06443</cdr:y>
    </cdr:to>
    <cdr:sp macro="" textlink="">
      <cdr:nvSpPr>
        <cdr:cNvPr id="1113" name="ZoneTexte 5"/>
        <cdr:cNvSpPr txBox="1"/>
      </cdr:nvSpPr>
      <cdr:spPr>
        <a:xfrm xmlns:a="http://schemas.openxmlformats.org/drawingml/2006/main">
          <a:off x="5268516" y="198438"/>
          <a:ext cx="1071562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0.32556</cdr:x>
      <cdr:y>0.09384</cdr:y>
    </cdr:from>
    <cdr:to>
      <cdr:x>0.41512</cdr:x>
      <cdr:y>0.22291</cdr:y>
    </cdr:to>
    <cdr:sp macro="" textlink="">
      <cdr:nvSpPr>
        <cdr:cNvPr id="1114" name="ZoneTexte 6"/>
        <cdr:cNvSpPr txBox="1"/>
      </cdr:nvSpPr>
      <cdr:spPr>
        <a:xfrm xmlns:a="http://schemas.openxmlformats.org/drawingml/2006/main">
          <a:off x="3323828" y="66476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0.19433</cdr:x>
      <cdr:y>0.09518</cdr:y>
    </cdr:from>
    <cdr:to>
      <cdr:x>0.28387</cdr:x>
      <cdr:y>0.22419</cdr:y>
    </cdr:to>
    <cdr:sp macro="" textlink="">
      <cdr:nvSpPr>
        <cdr:cNvPr id="1115" name="ZoneTexte 7"/>
        <cdr:cNvSpPr txBox="1"/>
      </cdr:nvSpPr>
      <cdr:spPr>
        <a:xfrm xmlns:a="http://schemas.openxmlformats.org/drawingml/2006/main">
          <a:off x="1984375" y="67468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0.5645</cdr:x>
      <cdr:y>0.09664</cdr:y>
    </cdr:from>
    <cdr:to>
      <cdr:x>0.71969</cdr:x>
      <cdr:y>0.13025</cdr:y>
    </cdr:to>
    <cdr:sp macro="" textlink="">
      <cdr:nvSpPr>
        <cdr:cNvPr id="1116" name="ZoneTexte 8"/>
        <cdr:cNvSpPr txBox="1"/>
      </cdr:nvSpPr>
      <cdr:spPr>
        <a:xfrm xmlns:a="http://schemas.openxmlformats.org/drawingml/2006/main">
          <a:off x="5774525" y="684619"/>
          <a:ext cx="1587505" cy="2381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r>
            <a:rPr lang="fr-FR" sz="1100"/>
            <a:t>déclinaison magnétique:</a:t>
          </a:r>
        </a:p>
      </cdr:txBody>
    </cdr:sp>
  </cdr:relSizeAnchor>
  <cdr:relSizeAnchor xmlns:cdr="http://schemas.openxmlformats.org/drawingml/2006/chartDrawing">
    <cdr:from>
      <cdr:x>0.7226</cdr:x>
      <cdr:y>0.08543</cdr:y>
    </cdr:from>
    <cdr:to>
      <cdr:x>0.79728</cdr:x>
      <cdr:y>0.13445</cdr:y>
    </cdr:to>
    <cdr:sp macro="" textlink="">
      <cdr:nvSpPr>
        <cdr:cNvPr id="1117" name="ZoneTexte 9"/>
        <cdr:cNvSpPr txBox="1"/>
      </cdr:nvSpPr>
      <cdr:spPr>
        <a:xfrm xmlns:a="http://schemas.openxmlformats.org/drawingml/2006/main">
          <a:off x="7391797" y="605234"/>
          <a:ext cx="763984" cy="3472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0.72745</cdr:x>
      <cdr:y>0.09664</cdr:y>
    </cdr:from>
    <cdr:to>
      <cdr:x>0.80019</cdr:x>
      <cdr:y>0.13585</cdr:y>
    </cdr:to>
    <cdr:sp macro="" textlink="">
      <cdr:nvSpPr>
        <cdr:cNvPr id="1118" name="ZoneTexte 10"/>
        <cdr:cNvSpPr txBox="1"/>
      </cdr:nvSpPr>
      <cdr:spPr>
        <a:xfrm xmlns:a="http://schemas.openxmlformats.org/drawingml/2006/main">
          <a:off x="7441406" y="684609"/>
          <a:ext cx="744141" cy="277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0.09893</cdr:x>
      <cdr:y>0.92997</cdr:y>
    </cdr:from>
    <cdr:to>
      <cdr:x>0.1581</cdr:x>
      <cdr:y>0.993</cdr:y>
    </cdr:to>
    <cdr:sp macro="" textlink="">
      <cdr:nvSpPr>
        <cdr:cNvPr id="1119" name="ZoneTexte 4"/>
        <cdr:cNvSpPr txBox="1"/>
      </cdr:nvSpPr>
      <cdr:spPr>
        <a:xfrm xmlns:a="http://schemas.openxmlformats.org/drawingml/2006/main">
          <a:off x="1012031" y="6588124"/>
          <a:ext cx="605234" cy="4464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0.87275</cdr:x>
      <cdr:y>0.038</cdr:y>
    </cdr:from>
    <cdr:to>
      <cdr:x>0.99275</cdr:x>
      <cdr:y>0.1215</cdr:y>
    </cdr:to>
    <cdr:sp macro="" textlink="">
      <cdr:nvSpPr>
        <cdr:cNvPr id="1120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283969" y="272005"/>
          <a:ext cx="1141716" cy="59491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45720" tIns="32004" rIns="4572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 Baltic"/>
              <a:cs typeface="Arial Baltic"/>
            </a:rPr>
            <a:t>Latitude :</a:t>
          </a:r>
          <a:endParaRPr lang="fr-FR"/>
        </a:p>
      </cdr:txBody>
    </cdr:sp>
  </cdr:relSizeAnchor>
  <cdr:relSizeAnchor xmlns:cdr="http://schemas.openxmlformats.org/drawingml/2006/chartDrawing">
    <cdr:from>
      <cdr:x>0.89353</cdr:x>
      <cdr:y>0.07425</cdr:y>
    </cdr:from>
    <cdr:to>
      <cdr:x>0.96451</cdr:x>
      <cdr:y>0.1215</cdr:y>
    </cdr:to>
    <cdr:sp macro="" textlink="Calculs!$B$5" fLocksText="0">
      <cdr:nvSpPr>
        <cdr:cNvPr id="1121" name="Text Box 5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 flipV="1">
          <a:off x="8493125" y="472959"/>
          <a:ext cx="674688" cy="300975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 xmlns:a="http://schemas.openxmlformats.org/drawingml/2006/main">
          <a:noFill/>
        </a:ln>
        <a:extLst xmlns:a="http://schemas.openxmlformats.org/drawingml/2006/main"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45720" tIns="32004" rIns="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1887D23E-136C-4081-8E2D-EF0D085CABB0}" type="TxLink"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66,56278</a:t>
          </a:fld>
          <a:endParaRPr lang="fr-FR"/>
        </a:p>
      </cdr:txBody>
    </cdr:sp>
  </cdr:relSizeAnchor>
  <cdr:relSizeAnchor xmlns:cdr="http://schemas.openxmlformats.org/drawingml/2006/chartDrawing">
    <cdr:from>
      <cdr:x>0.61564</cdr:x>
      <cdr:y>0.04482</cdr:y>
    </cdr:from>
    <cdr:to>
      <cdr:x>0.8526</cdr:x>
      <cdr:y>0.08543</cdr:y>
    </cdr:to>
    <cdr:sp macro="" textlink="[0]!Ville_ref">
      <cdr:nvSpPr>
        <cdr:cNvPr id="1122" name="ZoneTexte 1"/>
        <cdr:cNvSpPr txBox="1"/>
      </cdr:nvSpPr>
      <cdr:spPr>
        <a:xfrm xmlns:a="http://schemas.openxmlformats.org/drawingml/2006/main">
          <a:off x="6297659" y="317500"/>
          <a:ext cx="2423971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229DAFC2-A343-4115-ADE7-B907F4E955F0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Cercle Arctique</a:t>
          </a:fld>
          <a:endParaRPr lang="fr-FR" sz="1400"/>
        </a:p>
      </cdr:txBody>
    </cdr:sp>
  </cdr:relSizeAnchor>
  <cdr:relSizeAnchor xmlns:cdr="http://schemas.openxmlformats.org/drawingml/2006/chartDrawing">
    <cdr:from>
      <cdr:x>0.4668</cdr:x>
      <cdr:y>0.94698</cdr:y>
    </cdr:from>
    <cdr:to>
      <cdr:x>0.70221</cdr:x>
      <cdr:y>0.98527</cdr:y>
    </cdr:to>
    <cdr:sp macro="" textlink="">
      <cdr:nvSpPr>
        <cdr:cNvPr id="1123" name="ZoneTexte 2"/>
        <cdr:cNvSpPr txBox="1"/>
      </cdr:nvSpPr>
      <cdr:spPr>
        <a:xfrm xmlns:a="http://schemas.openxmlformats.org/drawingml/2006/main">
          <a:off x="4603750" y="6379766"/>
          <a:ext cx="2321719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000"/>
        </a:p>
      </cdr:txBody>
    </cdr:sp>
  </cdr:relSizeAnchor>
  <cdr:relSizeAnchor xmlns:cdr="http://schemas.openxmlformats.org/drawingml/2006/chartDrawing">
    <cdr:from>
      <cdr:x>0.13411</cdr:x>
      <cdr:y>0.06723</cdr:y>
    </cdr:from>
    <cdr:to>
      <cdr:x>0.67444</cdr:x>
      <cdr:y>0.13725</cdr:y>
    </cdr:to>
    <cdr:sp macro="" textlink="">
      <cdr:nvSpPr>
        <cdr:cNvPr id="1124" name="ZoneTexte 3"/>
        <cdr:cNvSpPr txBox="1"/>
      </cdr:nvSpPr>
      <cdr:spPr>
        <a:xfrm xmlns:a="http://schemas.openxmlformats.org/drawingml/2006/main">
          <a:off x="1369219" y="476249"/>
          <a:ext cx="5516562" cy="496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0.51503</cdr:x>
      <cdr:y>0.02801</cdr:y>
    </cdr:from>
    <cdr:to>
      <cdr:x>0.61979</cdr:x>
      <cdr:y>0.06443</cdr:y>
    </cdr:to>
    <cdr:sp macro="" textlink="">
      <cdr:nvSpPr>
        <cdr:cNvPr id="1125" name="ZoneTexte 5"/>
        <cdr:cNvSpPr txBox="1"/>
      </cdr:nvSpPr>
      <cdr:spPr>
        <a:xfrm xmlns:a="http://schemas.openxmlformats.org/drawingml/2006/main">
          <a:off x="5268516" y="198438"/>
          <a:ext cx="1071562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0.32556</cdr:x>
      <cdr:y>0.09384</cdr:y>
    </cdr:from>
    <cdr:to>
      <cdr:x>0.41512</cdr:x>
      <cdr:y>0.22291</cdr:y>
    </cdr:to>
    <cdr:sp macro="" textlink="">
      <cdr:nvSpPr>
        <cdr:cNvPr id="1126" name="ZoneTexte 6"/>
        <cdr:cNvSpPr txBox="1"/>
      </cdr:nvSpPr>
      <cdr:spPr>
        <a:xfrm xmlns:a="http://schemas.openxmlformats.org/drawingml/2006/main">
          <a:off x="3323828" y="66476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0.19433</cdr:x>
      <cdr:y>0.09518</cdr:y>
    </cdr:from>
    <cdr:to>
      <cdr:x>0.28387</cdr:x>
      <cdr:y>0.22419</cdr:y>
    </cdr:to>
    <cdr:sp macro="" textlink="">
      <cdr:nvSpPr>
        <cdr:cNvPr id="1127" name="ZoneTexte 7"/>
        <cdr:cNvSpPr txBox="1"/>
      </cdr:nvSpPr>
      <cdr:spPr>
        <a:xfrm xmlns:a="http://schemas.openxmlformats.org/drawingml/2006/main">
          <a:off x="1984375" y="67468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0.5645</cdr:x>
      <cdr:y>0.09664</cdr:y>
    </cdr:from>
    <cdr:to>
      <cdr:x>0.71969</cdr:x>
      <cdr:y>0.13025</cdr:y>
    </cdr:to>
    <cdr:sp macro="" textlink="">
      <cdr:nvSpPr>
        <cdr:cNvPr id="1128" name="ZoneTexte 8"/>
        <cdr:cNvSpPr txBox="1"/>
      </cdr:nvSpPr>
      <cdr:spPr>
        <a:xfrm xmlns:a="http://schemas.openxmlformats.org/drawingml/2006/main">
          <a:off x="5774525" y="684619"/>
          <a:ext cx="1587505" cy="2381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r>
            <a:rPr lang="fr-FR" sz="1100"/>
            <a:t>déclinaison magnétique:</a:t>
          </a:r>
        </a:p>
      </cdr:txBody>
    </cdr:sp>
  </cdr:relSizeAnchor>
  <cdr:relSizeAnchor xmlns:cdr="http://schemas.openxmlformats.org/drawingml/2006/chartDrawing">
    <cdr:from>
      <cdr:x>0.7226</cdr:x>
      <cdr:y>0.08543</cdr:y>
    </cdr:from>
    <cdr:to>
      <cdr:x>0.79728</cdr:x>
      <cdr:y>0.13445</cdr:y>
    </cdr:to>
    <cdr:sp macro="" textlink="">
      <cdr:nvSpPr>
        <cdr:cNvPr id="1129" name="ZoneTexte 9"/>
        <cdr:cNvSpPr txBox="1"/>
      </cdr:nvSpPr>
      <cdr:spPr>
        <a:xfrm xmlns:a="http://schemas.openxmlformats.org/drawingml/2006/main">
          <a:off x="7391797" y="605234"/>
          <a:ext cx="763984" cy="3472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0.72745</cdr:x>
      <cdr:y>0.09664</cdr:y>
    </cdr:from>
    <cdr:to>
      <cdr:x>0.80019</cdr:x>
      <cdr:y>0.13585</cdr:y>
    </cdr:to>
    <cdr:sp macro="" textlink="">
      <cdr:nvSpPr>
        <cdr:cNvPr id="1130" name="ZoneTexte 10"/>
        <cdr:cNvSpPr txBox="1"/>
      </cdr:nvSpPr>
      <cdr:spPr>
        <a:xfrm xmlns:a="http://schemas.openxmlformats.org/drawingml/2006/main">
          <a:off x="7441406" y="684609"/>
          <a:ext cx="744141" cy="277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0.09893</cdr:x>
      <cdr:y>0.92997</cdr:y>
    </cdr:from>
    <cdr:to>
      <cdr:x>0.1581</cdr:x>
      <cdr:y>0.993</cdr:y>
    </cdr:to>
    <cdr:sp macro="" textlink="">
      <cdr:nvSpPr>
        <cdr:cNvPr id="1131" name="ZoneTexte 4"/>
        <cdr:cNvSpPr txBox="1"/>
      </cdr:nvSpPr>
      <cdr:spPr>
        <a:xfrm xmlns:a="http://schemas.openxmlformats.org/drawingml/2006/main">
          <a:off x="1012031" y="6588124"/>
          <a:ext cx="605234" cy="4464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0.87275</cdr:x>
      <cdr:y>0.038</cdr:y>
    </cdr:from>
    <cdr:to>
      <cdr:x>0.99275</cdr:x>
      <cdr:y>0.1215</cdr:y>
    </cdr:to>
    <cdr:sp macro="" textlink="">
      <cdr:nvSpPr>
        <cdr:cNvPr id="1132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283969" y="272005"/>
          <a:ext cx="1141716" cy="59491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45720" tIns="32004" rIns="4572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 Baltic"/>
              <a:cs typeface="Arial Baltic"/>
            </a:rPr>
            <a:t>Latitude :</a:t>
          </a:r>
          <a:endParaRPr lang="fr-FR"/>
        </a:p>
      </cdr:txBody>
    </cdr:sp>
  </cdr:relSizeAnchor>
  <cdr:relSizeAnchor xmlns:cdr="http://schemas.openxmlformats.org/drawingml/2006/chartDrawing">
    <cdr:from>
      <cdr:x>0.89353</cdr:x>
      <cdr:y>0.07425</cdr:y>
    </cdr:from>
    <cdr:to>
      <cdr:x>0.96451</cdr:x>
      <cdr:y>0.1215</cdr:y>
    </cdr:to>
    <cdr:sp macro="" textlink="[0]!Latitude" fLocksText="0">
      <cdr:nvSpPr>
        <cdr:cNvPr id="1133" name="Text Box 5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 flipV="1">
          <a:off x="8493125" y="472959"/>
          <a:ext cx="674688" cy="300975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 xmlns:a="http://schemas.openxmlformats.org/drawingml/2006/main">
          <a:noFill/>
        </a:ln>
        <a:extLst xmlns:a="http://schemas.openxmlformats.org/drawingml/2006/main"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45720" tIns="32004" rIns="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B332E5A5-ED42-4805-82AB-0547F1DF0CF9}" type="TxLink"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66,56278</a:t>
          </a:fld>
          <a:endParaRPr lang="fr-FR"/>
        </a:p>
      </cdr:txBody>
    </cdr:sp>
  </cdr:relSizeAnchor>
  <cdr:relSizeAnchor xmlns:cdr="http://schemas.openxmlformats.org/drawingml/2006/chartDrawing">
    <cdr:from>
      <cdr:x>0.61564</cdr:x>
      <cdr:y>0.04482</cdr:y>
    </cdr:from>
    <cdr:to>
      <cdr:x>0.8526</cdr:x>
      <cdr:y>0.08543</cdr:y>
    </cdr:to>
    <cdr:sp macro="" textlink="[0]!Ville_ref">
      <cdr:nvSpPr>
        <cdr:cNvPr id="1134" name="ZoneTexte 1"/>
        <cdr:cNvSpPr txBox="1"/>
      </cdr:nvSpPr>
      <cdr:spPr>
        <a:xfrm xmlns:a="http://schemas.openxmlformats.org/drawingml/2006/main">
          <a:off x="6297659" y="317500"/>
          <a:ext cx="2423971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229DAFC2-A343-4115-ADE7-B907F4E955F0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Cercle Arctique</a:t>
          </a:fld>
          <a:endParaRPr lang="fr-FR" sz="1400"/>
        </a:p>
      </cdr:txBody>
    </cdr:sp>
  </cdr:relSizeAnchor>
  <cdr:relSizeAnchor xmlns:cdr="http://schemas.openxmlformats.org/drawingml/2006/chartDrawing">
    <cdr:from>
      <cdr:x>0.4668</cdr:x>
      <cdr:y>0.94698</cdr:y>
    </cdr:from>
    <cdr:to>
      <cdr:x>0.70221</cdr:x>
      <cdr:y>0.98527</cdr:y>
    </cdr:to>
    <cdr:sp macro="" textlink="">
      <cdr:nvSpPr>
        <cdr:cNvPr id="1135" name="ZoneTexte 2"/>
        <cdr:cNvSpPr txBox="1"/>
      </cdr:nvSpPr>
      <cdr:spPr>
        <a:xfrm xmlns:a="http://schemas.openxmlformats.org/drawingml/2006/main">
          <a:off x="4603750" y="6379766"/>
          <a:ext cx="2321719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000"/>
        </a:p>
      </cdr:txBody>
    </cdr:sp>
  </cdr:relSizeAnchor>
  <cdr:relSizeAnchor xmlns:cdr="http://schemas.openxmlformats.org/drawingml/2006/chartDrawing">
    <cdr:from>
      <cdr:x>0.13411</cdr:x>
      <cdr:y>0.06723</cdr:y>
    </cdr:from>
    <cdr:to>
      <cdr:x>0.67444</cdr:x>
      <cdr:y>0.13725</cdr:y>
    </cdr:to>
    <cdr:sp macro="" textlink="">
      <cdr:nvSpPr>
        <cdr:cNvPr id="1136" name="ZoneTexte 3"/>
        <cdr:cNvSpPr txBox="1"/>
      </cdr:nvSpPr>
      <cdr:spPr>
        <a:xfrm xmlns:a="http://schemas.openxmlformats.org/drawingml/2006/main">
          <a:off x="1369219" y="476249"/>
          <a:ext cx="5516562" cy="496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0.51503</cdr:x>
      <cdr:y>0.02801</cdr:y>
    </cdr:from>
    <cdr:to>
      <cdr:x>0.61979</cdr:x>
      <cdr:y>0.06443</cdr:y>
    </cdr:to>
    <cdr:sp macro="" textlink="">
      <cdr:nvSpPr>
        <cdr:cNvPr id="1137" name="ZoneTexte 5"/>
        <cdr:cNvSpPr txBox="1"/>
      </cdr:nvSpPr>
      <cdr:spPr>
        <a:xfrm xmlns:a="http://schemas.openxmlformats.org/drawingml/2006/main">
          <a:off x="5268516" y="198438"/>
          <a:ext cx="1071562" cy="2579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0.32556</cdr:x>
      <cdr:y>0.09384</cdr:y>
    </cdr:from>
    <cdr:to>
      <cdr:x>0.41512</cdr:x>
      <cdr:y>0.22291</cdr:y>
    </cdr:to>
    <cdr:sp macro="" textlink="">
      <cdr:nvSpPr>
        <cdr:cNvPr id="1138" name="ZoneTexte 6"/>
        <cdr:cNvSpPr txBox="1"/>
      </cdr:nvSpPr>
      <cdr:spPr>
        <a:xfrm xmlns:a="http://schemas.openxmlformats.org/drawingml/2006/main">
          <a:off x="3323828" y="66476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0.19433</cdr:x>
      <cdr:y>0.09518</cdr:y>
    </cdr:from>
    <cdr:to>
      <cdr:x>0.28387</cdr:x>
      <cdr:y>0.22419</cdr:y>
    </cdr:to>
    <cdr:sp macro="" textlink="">
      <cdr:nvSpPr>
        <cdr:cNvPr id="1139" name="ZoneTexte 7"/>
        <cdr:cNvSpPr txBox="1"/>
      </cdr:nvSpPr>
      <cdr:spPr>
        <a:xfrm xmlns:a="http://schemas.openxmlformats.org/drawingml/2006/main">
          <a:off x="1984375" y="67468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0.5645</cdr:x>
      <cdr:y>0.09664</cdr:y>
    </cdr:from>
    <cdr:to>
      <cdr:x>0.71969</cdr:x>
      <cdr:y>0.13025</cdr:y>
    </cdr:to>
    <cdr:sp macro="" textlink="">
      <cdr:nvSpPr>
        <cdr:cNvPr id="1140" name="ZoneTexte 8"/>
        <cdr:cNvSpPr txBox="1"/>
      </cdr:nvSpPr>
      <cdr:spPr>
        <a:xfrm xmlns:a="http://schemas.openxmlformats.org/drawingml/2006/main">
          <a:off x="5774525" y="684619"/>
          <a:ext cx="1587505" cy="2381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r>
            <a:rPr lang="fr-FR" sz="1100"/>
            <a:t>déclinaison magnétique:</a:t>
          </a:r>
        </a:p>
      </cdr:txBody>
    </cdr:sp>
  </cdr:relSizeAnchor>
  <cdr:relSizeAnchor xmlns:cdr="http://schemas.openxmlformats.org/drawingml/2006/chartDrawing">
    <cdr:from>
      <cdr:x>0.7226</cdr:x>
      <cdr:y>0.08543</cdr:y>
    </cdr:from>
    <cdr:to>
      <cdr:x>0.79728</cdr:x>
      <cdr:y>0.13445</cdr:y>
    </cdr:to>
    <cdr:sp macro="" textlink="">
      <cdr:nvSpPr>
        <cdr:cNvPr id="1141" name="ZoneTexte 9"/>
        <cdr:cNvSpPr txBox="1"/>
      </cdr:nvSpPr>
      <cdr:spPr>
        <a:xfrm xmlns:a="http://schemas.openxmlformats.org/drawingml/2006/main">
          <a:off x="7391797" y="605234"/>
          <a:ext cx="763984" cy="3472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0.71329</cdr:x>
      <cdr:y>0.09664</cdr:y>
    </cdr:from>
    <cdr:to>
      <cdr:x>0.76146</cdr:x>
      <cdr:y>0.13585</cdr:y>
    </cdr:to>
    <cdr:sp macro="" textlink="[0]!decl_magn">
      <cdr:nvSpPr>
        <cdr:cNvPr id="1142" name="ZoneTexte 10"/>
        <cdr:cNvSpPr txBox="1"/>
      </cdr:nvSpPr>
      <cdr:spPr>
        <a:xfrm xmlns:a="http://schemas.openxmlformats.org/drawingml/2006/main">
          <a:off x="7286626" y="684235"/>
          <a:ext cx="492125" cy="277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F7620AED-0397-4B5C-B307-661512C7C63E}" type="TxLink">
            <a:rPr lang="en-US" sz="1100" b="0" i="0" u="none" strike="noStrike">
              <a:solidFill>
                <a:srgbClr val="000000"/>
              </a:solidFill>
              <a:latin typeface="+mn-lt"/>
              <a:cs typeface="Arial"/>
            </a:rPr>
            <a:pPr/>
            <a:t>0</a:t>
          </a:fld>
          <a:endParaRPr lang="fr-FR" sz="1400" b="0">
            <a:latin typeface="+mn-lt"/>
          </a:endParaRPr>
        </a:p>
      </cdr:txBody>
    </cdr:sp>
  </cdr:relSizeAnchor>
  <cdr:relSizeAnchor xmlns:cdr="http://schemas.openxmlformats.org/drawingml/2006/chartDrawing">
    <cdr:from>
      <cdr:x>0.09893</cdr:x>
      <cdr:y>0.92997</cdr:y>
    </cdr:from>
    <cdr:to>
      <cdr:x>0.1581</cdr:x>
      <cdr:y>0.993</cdr:y>
    </cdr:to>
    <cdr:sp macro="" textlink="">
      <cdr:nvSpPr>
        <cdr:cNvPr id="1143" name="ZoneTexte 4"/>
        <cdr:cNvSpPr txBox="1"/>
      </cdr:nvSpPr>
      <cdr:spPr>
        <a:xfrm xmlns:a="http://schemas.openxmlformats.org/drawingml/2006/main">
          <a:off x="1012031" y="6588124"/>
          <a:ext cx="605234" cy="4464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0.67798</cdr:x>
      <cdr:y>0.93277</cdr:y>
    </cdr:from>
    <cdr:to>
      <cdr:x>0.75204</cdr:x>
      <cdr:y>0.9972</cdr:y>
    </cdr:to>
    <cdr:sp macro="" textlink="">
      <cdr:nvSpPr>
        <cdr:cNvPr id="1144" name="ZoneTexte 1035"/>
        <cdr:cNvSpPr txBox="1"/>
      </cdr:nvSpPr>
      <cdr:spPr>
        <a:xfrm xmlns:a="http://schemas.openxmlformats.org/drawingml/2006/main">
          <a:off x="6923214" y="6611660"/>
          <a:ext cx="756317" cy="4566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</a:t>
          </a:r>
        </a:p>
        <a:p xmlns:a="http://schemas.openxmlformats.org/drawingml/2006/main"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  <a:sym typeface="Symbol"/>
            </a:rPr>
            <a:t>Ouest</a:t>
          </a:r>
          <a:endParaRPr lang="fr-FR" sz="105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0.72192</cdr:x>
      <cdr:y>0.09518</cdr:y>
    </cdr:from>
    <cdr:to>
      <cdr:x>0.78799</cdr:x>
      <cdr:y>0.13578</cdr:y>
    </cdr:to>
    <cdr:sp macro="" textlink="">
      <cdr:nvSpPr>
        <cdr:cNvPr id="1145" name="ZoneTexte 1036"/>
        <cdr:cNvSpPr txBox="1"/>
      </cdr:nvSpPr>
      <cdr:spPr>
        <a:xfrm xmlns:a="http://schemas.openxmlformats.org/drawingml/2006/main">
          <a:off x="7371953" y="674688"/>
          <a:ext cx="674688" cy="287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0.76566</cdr:x>
      <cdr:y>0.0935</cdr:y>
    </cdr:from>
    <cdr:to>
      <cdr:x>0.8073</cdr:x>
      <cdr:y>0.13411</cdr:y>
    </cdr:to>
    <cdr:sp macro="" textlink="[0]!Longitude">
      <cdr:nvSpPr>
        <cdr:cNvPr id="155" name="ZoneTexte 1"/>
        <cdr:cNvSpPr txBox="1"/>
      </cdr:nvSpPr>
      <cdr:spPr>
        <a:xfrm xmlns:a="http://schemas.openxmlformats.org/drawingml/2006/main">
          <a:off x="7821614" y="661987"/>
          <a:ext cx="425450" cy="2875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AD5BF8AB-B827-4E4C-8032-31B02B9FC253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?</a:t>
          </a:fld>
          <a:endParaRPr lang="fr-FR" sz="14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mailto:alain.971@laposte.net?subject=Fichier%20diagramme%20solai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46"/>
  <sheetViews>
    <sheetView workbookViewId="0">
      <selection activeCell="G2" sqref="G2"/>
    </sheetView>
  </sheetViews>
  <sheetFormatPr baseColWidth="10" defaultRowHeight="13.2"/>
  <cols>
    <col min="1" max="1" width="27.44140625" customWidth="1"/>
    <col min="2" max="7" width="8.6640625" style="1" customWidth="1"/>
    <col min="8" max="8" width="8.6640625" style="2" customWidth="1"/>
    <col min="9" max="18" width="8.6640625" style="1" customWidth="1"/>
    <col min="19" max="19" width="6.33203125" customWidth="1"/>
  </cols>
  <sheetData>
    <row r="1" spans="1:19" s="95" customFormat="1" ht="16.2" thickBot="1">
      <c r="A1" s="48" t="s">
        <v>142</v>
      </c>
      <c r="B1" s="48"/>
      <c r="C1" s="128" t="s">
        <v>143</v>
      </c>
      <c r="D1" s="128"/>
      <c r="E1" s="12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</row>
    <row r="2" spans="1:19" s="48" customFormat="1" ht="16.2" thickTop="1">
      <c r="B2" s="49" t="s">
        <v>66</v>
      </c>
      <c r="C2" s="94" t="s">
        <v>141</v>
      </c>
      <c r="D2" s="94" t="s">
        <v>52</v>
      </c>
      <c r="E2" s="94" t="s">
        <v>105</v>
      </c>
    </row>
    <row r="3" spans="1:19" ht="15.6">
      <c r="A3" s="46" t="s">
        <v>187</v>
      </c>
      <c r="B3" s="60" t="s">
        <v>65</v>
      </c>
      <c r="C3" s="92"/>
      <c r="D3" s="93"/>
      <c r="E3" s="57" t="s">
        <v>206</v>
      </c>
      <c r="F3" s="4"/>
      <c r="G3" s="4"/>
      <c r="H3" s="5"/>
      <c r="I3" s="4"/>
      <c r="J3" s="4"/>
      <c r="K3" s="4"/>
      <c r="L3" s="4"/>
      <c r="M3" s="4"/>
      <c r="N3" s="4"/>
      <c r="O3" s="4"/>
      <c r="P3" s="4"/>
      <c r="Q3" s="4"/>
      <c r="R3" s="4"/>
      <c r="S3" s="3"/>
    </row>
    <row r="4" spans="1:19" ht="16.2" thickBot="1">
      <c r="A4" s="65" t="s">
        <v>110</v>
      </c>
      <c r="B4" s="64" t="s">
        <v>90</v>
      </c>
      <c r="C4" s="93">
        <v>21</v>
      </c>
      <c r="D4" s="4"/>
      <c r="E4" s="4"/>
      <c r="F4" s="4"/>
      <c r="G4" s="4"/>
      <c r="H4" s="5"/>
      <c r="I4" s="4"/>
      <c r="J4" s="4"/>
      <c r="K4" s="4"/>
      <c r="L4" s="4"/>
      <c r="M4" s="4"/>
      <c r="N4" s="4"/>
      <c r="O4" s="4"/>
      <c r="P4" s="4"/>
      <c r="Q4" s="4"/>
      <c r="R4" s="4"/>
      <c r="S4" s="3"/>
    </row>
    <row r="5" spans="1:19" ht="18.600000000000001" thickTop="1" thickBot="1">
      <c r="A5" s="6" t="s">
        <v>18</v>
      </c>
      <c r="B5" s="56">
        <f>IF( OR(Ville_ref="villes",Ville_ref=0),C3,VLOOKUP(A3,'Villes-Géo'!C:D,2,FALSE))</f>
        <v>66.562780000000004</v>
      </c>
      <c r="C5" s="7">
        <f>RADIANS(B5)</f>
        <v>1.1617396702806313</v>
      </c>
      <c r="D5" s="4" t="s">
        <v>69</v>
      </c>
      <c r="E5" s="120" t="s">
        <v>0</v>
      </c>
      <c r="F5" s="121"/>
      <c r="G5" s="82" t="s">
        <v>97</v>
      </c>
      <c r="H5" s="82" t="s">
        <v>77</v>
      </c>
      <c r="I5" s="129" t="str">
        <f>IF(H_legale_Ok="Ok", "Heure légale", "Heure solaire moyenne")</f>
        <v>Heure solaire moyenne</v>
      </c>
      <c r="J5" s="129"/>
      <c r="K5" s="129"/>
      <c r="L5" s="4"/>
      <c r="M5" s="4"/>
      <c r="N5" s="4"/>
      <c r="O5" s="4"/>
      <c r="P5" s="4" t="s">
        <v>79</v>
      </c>
      <c r="Q5" s="57" t="s">
        <v>112</v>
      </c>
      <c r="R5" s="57" t="s">
        <v>56</v>
      </c>
      <c r="S5" s="73" t="s">
        <v>157</v>
      </c>
    </row>
    <row r="6" spans="1:19" ht="13.8" thickTop="1">
      <c r="A6" s="73" t="s">
        <v>115</v>
      </c>
      <c r="B6" s="74" t="str">
        <f>IF(OR(Ville_ref="villes",Ville_ref=0),D3,VLOOKUP(Ville_ref,'Villes-Géo'!C:G,4,FALSE))</f>
        <v>?</v>
      </c>
      <c r="C6" s="4" t="s">
        <v>111</v>
      </c>
      <c r="D6" s="7">
        <v>0</v>
      </c>
      <c r="E6" s="63" t="s">
        <v>89</v>
      </c>
      <c r="F6" s="9" t="s">
        <v>15</v>
      </c>
      <c r="G6" s="83" t="s">
        <v>98</v>
      </c>
      <c r="H6" s="84" t="s">
        <v>78</v>
      </c>
      <c r="I6" s="84" t="s">
        <v>109</v>
      </c>
      <c r="J6" s="84" t="s">
        <v>118</v>
      </c>
      <c r="K6" s="84" t="s">
        <v>119</v>
      </c>
      <c r="L6" s="4"/>
      <c r="M6" s="4"/>
      <c r="N6" s="4"/>
      <c r="O6" s="4"/>
      <c r="P6" s="4"/>
      <c r="Q6" s="4"/>
      <c r="R6" s="4"/>
      <c r="S6" s="3"/>
    </row>
    <row r="7" spans="1:19">
      <c r="A7" s="73" t="s">
        <v>124</v>
      </c>
      <c r="B7" s="8"/>
      <c r="C7" s="4">
        <f>IF(C4&gt;0,C4,15)</f>
        <v>21</v>
      </c>
      <c r="D7" s="7">
        <f>RADIANS(F7)</f>
        <v>-0.34605956339265898</v>
      </c>
      <c r="E7" s="61">
        <f>DATE(1,1,C7)</f>
        <v>387</v>
      </c>
      <c r="F7" s="58">
        <f>DEGREES(ASIN(0.3978*SIN(Va_rad*(C7-(81-2*SIN(Va_rad*(C7-2)))))))</f>
        <v>-19.827752442539325</v>
      </c>
      <c r="G7" s="85">
        <f>IF(J23&lt;0,"nuit",-k_atm*SIN(RADIANS(J23))+SQRT((1+2*k_atm+(k_atm*SIN(RADIANS(J23)))^2)))</f>
        <v>13.770337416906365</v>
      </c>
      <c r="H7" s="86">
        <f>IF(P7&gt;1,"nuit",IF(P7&lt;-1,"&gt;24h",24/PI()*ACOS(P7)))</f>
        <v>4.4962268060187274</v>
      </c>
      <c r="I7" s="87">
        <f t="shared" ref="I7:I11" si="0">IF(OR(H7="&gt;24h",H7="nuit"),"non",K7-H7/48)</f>
        <v>0.41411225304696125</v>
      </c>
      <c r="J7" s="87">
        <f t="shared" ref="J7:J17" si="1">IF(OR(H7="&gt;24h",H7="nuit"),"non",K7+H7/48)</f>
        <v>0.60145503663107491</v>
      </c>
      <c r="K7" s="87">
        <f t="shared" ref="K7:K18" si="2">IF(P7&gt;1,"nuit",IF(H_legale_Ok="Ok",0.5+(S7+R7)/1440, 0.5+R7/1440))</f>
        <v>0.50778364483901806</v>
      </c>
      <c r="L7" s="4"/>
      <c r="M7" s="4"/>
      <c r="N7" s="4"/>
      <c r="O7" s="4"/>
      <c r="P7" s="4">
        <f>-TAN(D7)*TAN(Lat_radian)</f>
        <v>0.83174391253300661</v>
      </c>
      <c r="Q7" s="4">
        <f>2*PI()*(C7-81)/364</f>
        <v>-1.0356898857988328</v>
      </c>
      <c r="R7" s="107">
        <f>-9.87*SIN(2*Q7)+7.53*COS(Q7)+1.5*SIN(Q7)</f>
        <v>11.208448568185965</v>
      </c>
      <c r="S7" s="106" t="str">
        <f t="shared" ref="S7:S18" si="3">IF(AND(C7&gt;H_ete_debut,C7&lt;H_ete_Fin),H_ete_decallage,H_hivers_decallage)</f>
        <v>?</v>
      </c>
    </row>
    <row r="8" spans="1:19">
      <c r="A8" s="3" t="s">
        <v>70</v>
      </c>
      <c r="B8" s="54">
        <f>VLOOKUP(Ville_ref,'Villes-Géo'!C:Q,10,FALSE)</f>
        <v>0</v>
      </c>
      <c r="C8" s="4">
        <f>C7+31</f>
        <v>52</v>
      </c>
      <c r="D8" s="7">
        <f t="shared" ref="D8:D18" si="4">RADIANS(F8)</f>
        <v>-0.18215123692973401</v>
      </c>
      <c r="E8" s="61">
        <f t="shared" ref="E8:E18" si="5">DATE(1,1,C8)</f>
        <v>418</v>
      </c>
      <c r="F8" s="58">
        <f t="shared" ref="F8:F18" si="6">DEGREES(ASIN(0.3978*SIN(Va_rad*(C8-(81-2*SIN(Va_rad*(C8-2)))))))</f>
        <v>-10.436497109161257</v>
      </c>
      <c r="G8" s="85">
        <f t="shared" ref="G8:G18" si="7">IF(J24&lt;0,"nuit",-k_atm*SIN(RADIANS(J24))+SQRT((1+2*k_atm+(k_atm*SIN(RADIANS(J24)))^2)))</f>
        <v>4.3879192334821653</v>
      </c>
      <c r="H8" s="86">
        <f t="shared" ref="H8:H18" si="8">IF(P8&gt;1,"nuit",IF(P8&lt;-1,"&gt;24h",24/PI()*ACOS(P8)))</f>
        <v>8.6475306939844589</v>
      </c>
      <c r="I8" s="87">
        <f t="shared" si="0"/>
        <v>0.32970263748960871</v>
      </c>
      <c r="J8" s="87">
        <f t="shared" si="1"/>
        <v>0.69001641640562783</v>
      </c>
      <c r="K8" s="87">
        <f t="shared" si="2"/>
        <v>0.50985952694761827</v>
      </c>
      <c r="L8" s="4"/>
      <c r="M8" s="4"/>
      <c r="N8" s="4"/>
      <c r="O8" s="4"/>
      <c r="P8" s="4">
        <f t="shared" ref="P8:P18" si="9">-TAN(D8)*TAN(Lat_radian)</f>
        <v>0.42488713751185953</v>
      </c>
      <c r="Q8" s="4">
        <f t="shared" ref="Q8:Q18" si="10">2*PI()*(C8-81)/364</f>
        <v>-0.50058344480276928</v>
      </c>
      <c r="R8" s="107">
        <f t="shared" ref="R8:R17" si="11">-9.87*SIN(2*Q8)+7.53*COS(Q8)+1.5*SIN(Q8)</f>
        <v>14.197718804570268</v>
      </c>
      <c r="S8" s="106" t="str">
        <f t="shared" si="3"/>
        <v>?</v>
      </c>
    </row>
    <row r="9" spans="1:19">
      <c r="A9" s="73"/>
      <c r="B9" s="54">
        <f>VLOOKUP(Ville_ref,'Villes-Géo'!C:Q,12,FALSE)</f>
        <v>0</v>
      </c>
      <c r="C9" s="4">
        <f>C8+28</f>
        <v>80</v>
      </c>
      <c r="D9" s="7">
        <f>RADIANS(F9)</f>
        <v>6.4853793849390705E-3</v>
      </c>
      <c r="E9" s="61">
        <f t="shared" si="5"/>
        <v>446</v>
      </c>
      <c r="F9" s="58">
        <f t="shared" si="6"/>
        <v>0.37158486729815843</v>
      </c>
      <c r="G9" s="85">
        <f t="shared" si="7"/>
        <v>2.4682731852294637</v>
      </c>
      <c r="H9" s="86">
        <f t="shared" si="8"/>
        <v>12.114293045963104</v>
      </c>
      <c r="I9" s="87">
        <f t="shared" si="0"/>
        <v>0.25306588205722741</v>
      </c>
      <c r="J9" s="87">
        <f t="shared" si="1"/>
        <v>0.75782809230569015</v>
      </c>
      <c r="K9" s="87">
        <f>IF(P9&gt;1,"nuit",IF(H_legale_Ok="Ok",0.5+(S9+R9)/1440, 0.5+R9/1440))</f>
        <v>0.50544698718145875</v>
      </c>
      <c r="L9" s="4"/>
      <c r="M9" s="4"/>
      <c r="N9" s="47"/>
      <c r="O9" s="4"/>
      <c r="P9" s="4">
        <f t="shared" si="9"/>
        <v>-1.4960366622192561E-2</v>
      </c>
      <c r="Q9" s="4">
        <f t="shared" si="10"/>
        <v>-1.7261498096647215E-2</v>
      </c>
      <c r="R9" s="107">
        <f t="shared" si="11"/>
        <v>7.8436615413005333</v>
      </c>
      <c r="S9" s="106" t="str">
        <f t="shared" si="3"/>
        <v>?</v>
      </c>
    </row>
    <row r="10" spans="1:19">
      <c r="A10" s="3"/>
      <c r="B10" s="8"/>
      <c r="C10" s="4">
        <f>C9+31</f>
        <v>111</v>
      </c>
      <c r="D10" s="7">
        <f t="shared" si="4"/>
        <v>0.20906743838377034</v>
      </c>
      <c r="E10" s="61">
        <f t="shared" si="5"/>
        <v>477</v>
      </c>
      <c r="F10" s="58">
        <f t="shared" si="6"/>
        <v>11.978681853001429</v>
      </c>
      <c r="G10" s="85">
        <f t="shared" si="7"/>
        <v>1.7232057712217284</v>
      </c>
      <c r="H10" s="86">
        <f t="shared" si="8"/>
        <v>15.906979186973151</v>
      </c>
      <c r="I10" s="87">
        <f t="shared" si="0"/>
        <v>0.16776774185824922</v>
      </c>
      <c r="J10" s="87">
        <f t="shared" si="1"/>
        <v>0.83055854131546392</v>
      </c>
      <c r="K10" s="87">
        <f t="shared" si="2"/>
        <v>0.49916314158685654</v>
      </c>
      <c r="L10" s="4"/>
      <c r="M10" s="4"/>
      <c r="N10" s="4"/>
      <c r="O10" s="4"/>
      <c r="P10" s="4">
        <f t="shared" si="9"/>
        <v>-0.48941812665765283</v>
      </c>
      <c r="Q10" s="4">
        <f t="shared" si="10"/>
        <v>0.5178449428994164</v>
      </c>
      <c r="R10" s="107">
        <f t="shared" si="11"/>
        <v>-1.2050761149265785</v>
      </c>
      <c r="S10" s="106" t="str">
        <f t="shared" si="3"/>
        <v>?</v>
      </c>
    </row>
    <row r="11" spans="1:19">
      <c r="A11" s="3"/>
      <c r="B11" s="8"/>
      <c r="C11" s="4">
        <f>C10+30</f>
        <v>141</v>
      </c>
      <c r="D11" s="7">
        <f t="shared" si="4"/>
        <v>0.35347734880629417</v>
      </c>
      <c r="E11" s="61">
        <f t="shared" si="5"/>
        <v>507</v>
      </c>
      <c r="F11" s="58">
        <f t="shared" si="6"/>
        <v>20.252760240074323</v>
      </c>
      <c r="G11" s="85">
        <f t="shared" si="7"/>
        <v>1.4465732875619892</v>
      </c>
      <c r="H11" s="86">
        <f t="shared" si="8"/>
        <v>19.777996654765051</v>
      </c>
      <c r="I11" s="87">
        <f t="shared" si="0"/>
        <v>8.5507803340956923E-2</v>
      </c>
      <c r="J11" s="87">
        <f t="shared" si="1"/>
        <v>0.90959099728950066</v>
      </c>
      <c r="K11" s="87">
        <f t="shared" si="2"/>
        <v>0.49754940031522882</v>
      </c>
      <c r="L11" s="4"/>
      <c r="M11" s="4"/>
      <c r="N11" s="4"/>
      <c r="O11" s="4"/>
      <c r="P11" s="4">
        <f t="shared" si="9"/>
        <v>-0.85113171315525593</v>
      </c>
      <c r="Q11" s="4">
        <f t="shared" si="10"/>
        <v>1.0356898857988328</v>
      </c>
      <c r="R11" s="107">
        <f t="shared" si="11"/>
        <v>-3.5288635460705171</v>
      </c>
      <c r="S11" s="106" t="str">
        <f t="shared" si="3"/>
        <v>?</v>
      </c>
    </row>
    <row r="12" spans="1:19">
      <c r="A12" s="3"/>
      <c r="B12" s="8"/>
      <c r="C12" s="4">
        <f>C11+31</f>
        <v>172</v>
      </c>
      <c r="D12" s="7">
        <f t="shared" si="4"/>
        <v>0.4091168253923686</v>
      </c>
      <c r="E12" s="61">
        <f t="shared" si="5"/>
        <v>538</v>
      </c>
      <c r="F12" s="58">
        <f t="shared" si="6"/>
        <v>23.440667422773352</v>
      </c>
      <c r="G12" s="85">
        <f t="shared" si="7"/>
        <v>1.3692079164372899</v>
      </c>
      <c r="H12" s="86" t="str">
        <f>IF(P12&gt;1,"nuit",IF(P12&lt;-1,"&gt;24h",24/PI()*ACOS(P12)))</f>
        <v>&gt;24h</v>
      </c>
      <c r="I12" s="87" t="str">
        <f>IF(OR(H12="&gt;24h",H12="nuit"),"non",K12-H12/48)</f>
        <v>non</v>
      </c>
      <c r="J12" s="87" t="str">
        <f t="shared" si="1"/>
        <v>non</v>
      </c>
      <c r="K12" s="87">
        <f t="shared" si="2"/>
        <v>0.50104166666666672</v>
      </c>
      <c r="L12" s="4"/>
      <c r="M12" s="4"/>
      <c r="N12" s="47"/>
      <c r="O12" s="4"/>
      <c r="P12" s="4">
        <f t="shared" si="9"/>
        <v>-1.0001648827520691</v>
      </c>
      <c r="Q12" s="4">
        <f t="shared" si="10"/>
        <v>1.5707963267948966</v>
      </c>
      <c r="R12" s="107">
        <f t="shared" si="11"/>
        <v>1.4999999999999993</v>
      </c>
      <c r="S12" s="106" t="str">
        <f t="shared" si="3"/>
        <v>?</v>
      </c>
    </row>
    <row r="13" spans="1:19">
      <c r="A13" s="3"/>
      <c r="B13" s="8"/>
      <c r="C13" s="4">
        <f>C12+30</f>
        <v>202</v>
      </c>
      <c r="D13" s="7">
        <f t="shared" si="4"/>
        <v>0.3565046971755863</v>
      </c>
      <c r="E13" s="61">
        <f t="shared" si="5"/>
        <v>568</v>
      </c>
      <c r="F13" s="58">
        <f t="shared" si="6"/>
        <v>20.426214524750574</v>
      </c>
      <c r="G13" s="85">
        <f t="shared" si="7"/>
        <v>1.4420234842223181</v>
      </c>
      <c r="H13" s="86">
        <f t="shared" si="8"/>
        <v>19.895046089664305</v>
      </c>
      <c r="I13" s="87">
        <f t="shared" ref="I13:I18" si="12">IF(OR(H13="&gt;24h",H13="nuit"),"non",K13-H13/48)</f>
        <v>8.9732533892718902E-2</v>
      </c>
      <c r="J13" s="87">
        <f t="shared" si="1"/>
        <v>0.91869278762873163</v>
      </c>
      <c r="K13" s="87">
        <f t="shared" si="2"/>
        <v>0.50421266076072524</v>
      </c>
      <c r="L13" s="4"/>
      <c r="M13" s="4"/>
      <c r="N13" s="4"/>
      <c r="O13" s="4"/>
      <c r="P13" s="4">
        <f t="shared" si="9"/>
        <v>-0.85907467498310797</v>
      </c>
      <c r="Q13" s="4">
        <f t="shared" si="10"/>
        <v>2.0886412696943131</v>
      </c>
      <c r="R13" s="107">
        <f t="shared" si="11"/>
        <v>6.0662314954443914</v>
      </c>
      <c r="S13" s="106" t="str">
        <f t="shared" si="3"/>
        <v>?</v>
      </c>
    </row>
    <row r="14" spans="1:19">
      <c r="A14" s="3"/>
      <c r="B14" s="8"/>
      <c r="C14" s="4">
        <f>C13+31</f>
        <v>233</v>
      </c>
      <c r="D14" s="7">
        <f t="shared" si="4"/>
        <v>0.2102522582134583</v>
      </c>
      <c r="E14" s="61">
        <f t="shared" si="5"/>
        <v>599</v>
      </c>
      <c r="F14" s="58">
        <f t="shared" si="6"/>
        <v>12.046567028725958</v>
      </c>
      <c r="G14" s="85">
        <f t="shared" si="7"/>
        <v>1.7203524496702016</v>
      </c>
      <c r="H14" s="86">
        <f t="shared" si="8"/>
        <v>15.932029085787079</v>
      </c>
      <c r="I14" s="87">
        <f t="shared" si="12"/>
        <v>0.1699508540958784</v>
      </c>
      <c r="J14" s="87">
        <f t="shared" si="1"/>
        <v>0.83378539933700668</v>
      </c>
      <c r="K14" s="87">
        <f t="shared" si="2"/>
        <v>0.50186812671644254</v>
      </c>
      <c r="L14" s="4"/>
      <c r="M14" s="4"/>
      <c r="N14" s="4"/>
      <c r="O14" s="4"/>
      <c r="P14" s="4">
        <f t="shared" si="9"/>
        <v>-0.49227496092541323</v>
      </c>
      <c r="Q14" s="4">
        <f t="shared" si="10"/>
        <v>2.6237477106903766</v>
      </c>
      <c r="R14" s="107">
        <f t="shared" si="11"/>
        <v>2.6901024716773261</v>
      </c>
      <c r="S14" s="106" t="str">
        <f t="shared" si="3"/>
        <v>?</v>
      </c>
    </row>
    <row r="15" spans="1:19">
      <c r="A15" s="3"/>
      <c r="B15" s="8"/>
      <c r="C15" s="4">
        <f>C14+31</f>
        <v>264</v>
      </c>
      <c r="D15" s="7">
        <f t="shared" si="4"/>
        <v>1.0852743042354861E-2</v>
      </c>
      <c r="E15" s="61">
        <f t="shared" si="5"/>
        <v>630</v>
      </c>
      <c r="F15" s="58">
        <f t="shared" si="6"/>
        <v>0.62181637246690236</v>
      </c>
      <c r="G15" s="85">
        <f t="shared" si="7"/>
        <v>2.444308523053337</v>
      </c>
      <c r="H15" s="86">
        <f t="shared" si="8"/>
        <v>12.191277584962817</v>
      </c>
      <c r="I15" s="87">
        <f t="shared" si="12"/>
        <v>0.24053210346326304</v>
      </c>
      <c r="J15" s="87">
        <f t="shared" si="1"/>
        <v>0.74850200283671375</v>
      </c>
      <c r="K15" s="87">
        <f t="shared" si="2"/>
        <v>0.49451705314998839</v>
      </c>
      <c r="L15" s="4"/>
      <c r="M15" s="4"/>
      <c r="N15" s="47"/>
      <c r="O15" s="4"/>
      <c r="P15" s="4">
        <f t="shared" si="9"/>
        <v>-2.5035561288177275E-2</v>
      </c>
      <c r="Q15" s="4">
        <f t="shared" si="10"/>
        <v>3.1588541516864401</v>
      </c>
      <c r="R15" s="107">
        <f t="shared" si="11"/>
        <v>-7.8954434640166919</v>
      </c>
      <c r="S15" s="106" t="str">
        <f t="shared" si="3"/>
        <v>?</v>
      </c>
    </row>
    <row r="16" spans="1:19">
      <c r="A16" s="3"/>
      <c r="B16" s="8"/>
      <c r="C16" s="4">
        <f>C15+30</f>
        <v>294</v>
      </c>
      <c r="D16" s="7">
        <f t="shared" si="4"/>
        <v>-0.18821977767960676</v>
      </c>
      <c r="E16" s="61">
        <f t="shared" si="5"/>
        <v>660</v>
      </c>
      <c r="F16" s="58">
        <f t="shared" si="6"/>
        <v>-10.784198881932122</v>
      </c>
      <c r="G16" s="85">
        <f t="shared" si="7"/>
        <v>4.5031500262794282</v>
      </c>
      <c r="H16" s="86">
        <f t="shared" si="8"/>
        <v>8.5247811094877655</v>
      </c>
      <c r="I16" s="87">
        <f t="shared" si="12"/>
        <v>0.3113578306341942</v>
      </c>
      <c r="J16" s="87">
        <f t="shared" si="1"/>
        <v>0.66655704352951783</v>
      </c>
      <c r="K16" s="87">
        <f t="shared" si="2"/>
        <v>0.48895743708185602</v>
      </c>
      <c r="L16" s="4"/>
      <c r="M16" s="4"/>
      <c r="N16" s="4"/>
      <c r="O16" s="4"/>
      <c r="P16" s="4">
        <f t="shared" si="9"/>
        <v>0.43937705697603663</v>
      </c>
      <c r="Q16" s="4">
        <f t="shared" si="10"/>
        <v>3.6766990945858566</v>
      </c>
      <c r="R16" s="107">
        <f t="shared" si="11"/>
        <v>-15.901290602127355</v>
      </c>
      <c r="S16" s="106" t="str">
        <f t="shared" si="3"/>
        <v>?</v>
      </c>
    </row>
    <row r="17" spans="1:19">
      <c r="A17" s="3"/>
      <c r="B17" s="8"/>
      <c r="C17" s="4">
        <f>C16+31</f>
        <v>325</v>
      </c>
      <c r="D17" s="7">
        <f t="shared" si="4"/>
        <v>-0.3486382334605006</v>
      </c>
      <c r="E17" s="61">
        <f t="shared" si="5"/>
        <v>691</v>
      </c>
      <c r="F17" s="58">
        <f t="shared" si="6"/>
        <v>-19.975499354183363</v>
      </c>
      <c r="G17" s="85">
        <f t="shared" si="7"/>
        <v>14.212665315127296</v>
      </c>
      <c r="H17" s="86">
        <f t="shared" si="8"/>
        <v>4.4027861329196858</v>
      </c>
      <c r="I17" s="87">
        <f t="shared" si="12"/>
        <v>0.39907985904714227</v>
      </c>
      <c r="J17" s="87">
        <f t="shared" si="1"/>
        <v>0.58252928125212922</v>
      </c>
      <c r="K17" s="87">
        <f t="shared" si="2"/>
        <v>0.49080457014963574</v>
      </c>
      <c r="L17" s="4"/>
      <c r="M17" s="4"/>
      <c r="N17" s="4"/>
      <c r="O17" s="4"/>
      <c r="P17" s="4">
        <f t="shared" si="9"/>
        <v>0.83847188016906793</v>
      </c>
      <c r="Q17" s="4">
        <f t="shared" si="10"/>
        <v>4.2118055355819202</v>
      </c>
      <c r="R17" s="107">
        <f t="shared" si="11"/>
        <v>-13.241418984524513</v>
      </c>
      <c r="S17" s="106" t="str">
        <f t="shared" si="3"/>
        <v>?</v>
      </c>
    </row>
    <row r="18" spans="1:19" ht="13.8" thickBot="1">
      <c r="A18" s="3"/>
      <c r="B18" s="8"/>
      <c r="C18" s="4">
        <f>C17+30</f>
        <v>355</v>
      </c>
      <c r="D18" s="7">
        <f t="shared" si="4"/>
        <v>-0.40910935082793681</v>
      </c>
      <c r="E18" s="62">
        <f t="shared" si="5"/>
        <v>721</v>
      </c>
      <c r="F18" s="59">
        <f t="shared" si="6"/>
        <v>-23.440239161777711</v>
      </c>
      <c r="G18" s="85" t="str">
        <f t="shared" si="7"/>
        <v>nuit</v>
      </c>
      <c r="H18" s="86" t="str">
        <f t="shared" si="8"/>
        <v>nuit</v>
      </c>
      <c r="I18" s="87" t="str">
        <f t="shared" si="12"/>
        <v>non</v>
      </c>
      <c r="J18" s="87" t="str">
        <f>IF(OR(H18="&gt;24h",H18="nuit"),"non",K18+H18/48)</f>
        <v>non</v>
      </c>
      <c r="K18" s="87" t="str">
        <f t="shared" si="2"/>
        <v>nuit</v>
      </c>
      <c r="L18" s="4"/>
      <c r="M18" s="4"/>
      <c r="N18" s="47"/>
      <c r="O18" s="4"/>
      <c r="P18" s="4">
        <f t="shared" si="9"/>
        <v>1.0001443994898089</v>
      </c>
      <c r="Q18" s="4">
        <f t="shared" si="10"/>
        <v>4.7296504784813367</v>
      </c>
      <c r="R18" s="107">
        <f>-9.87*SIN(2*Q18)+7.53*COS(Q18)+1.5*SIN(Q18)</f>
        <v>-1.0291296184126901</v>
      </c>
      <c r="S18" s="106" t="str">
        <f t="shared" si="3"/>
        <v>?</v>
      </c>
    </row>
    <row r="19" spans="1:19">
      <c r="A19" s="3"/>
      <c r="B19" s="4"/>
      <c r="C19" s="4"/>
      <c r="D19" s="4"/>
      <c r="E19" s="4"/>
      <c r="F19" s="4"/>
      <c r="G19" s="5"/>
      <c r="H19" s="5"/>
      <c r="I19" s="4"/>
      <c r="J19" s="4"/>
      <c r="K19" s="4"/>
      <c r="L19" s="4"/>
      <c r="M19" s="4"/>
      <c r="N19" s="4"/>
      <c r="O19" s="4"/>
      <c r="P19" s="4"/>
      <c r="Q19" s="4"/>
      <c r="R19" s="4"/>
      <c r="S19" s="3"/>
    </row>
    <row r="20" spans="1:19">
      <c r="A20" s="3"/>
      <c r="B20" s="4"/>
      <c r="C20" s="4"/>
      <c r="D20" s="4"/>
      <c r="E20" s="4"/>
      <c r="F20" s="4"/>
      <c r="G20" s="4"/>
      <c r="H20" s="5"/>
      <c r="I20" s="4"/>
      <c r="J20" s="4"/>
      <c r="K20" s="4"/>
      <c r="L20" s="4"/>
      <c r="M20" s="4"/>
      <c r="N20" s="4"/>
      <c r="O20" s="4"/>
      <c r="P20" s="4"/>
      <c r="Q20" s="4"/>
      <c r="R20" s="4"/>
      <c r="S20" s="3"/>
    </row>
    <row r="21" spans="1:19">
      <c r="A21" s="10" t="s">
        <v>14</v>
      </c>
      <c r="B21" s="11">
        <v>4</v>
      </c>
      <c r="C21" s="12">
        <v>5</v>
      </c>
      <c r="D21" s="12">
        <v>6</v>
      </c>
      <c r="E21" s="12">
        <v>7</v>
      </c>
      <c r="F21" s="12">
        <v>8</v>
      </c>
      <c r="G21" s="12">
        <v>9</v>
      </c>
      <c r="H21" s="13">
        <v>10</v>
      </c>
      <c r="I21" s="12">
        <v>11</v>
      </c>
      <c r="J21" s="12">
        <v>12</v>
      </c>
      <c r="K21" s="12">
        <v>13</v>
      </c>
      <c r="L21" s="12">
        <v>14</v>
      </c>
      <c r="M21" s="12">
        <v>15</v>
      </c>
      <c r="N21" s="12">
        <v>16</v>
      </c>
      <c r="O21" s="12">
        <v>17</v>
      </c>
      <c r="P21" s="12">
        <v>18</v>
      </c>
      <c r="Q21" s="12">
        <v>19</v>
      </c>
      <c r="R21" s="14">
        <v>20</v>
      </c>
      <c r="S21" s="15"/>
    </row>
    <row r="22" spans="1:19">
      <c r="A22" s="16" t="s">
        <v>13</v>
      </c>
      <c r="B22" s="17">
        <f>(B21-12)*15</f>
        <v>-120</v>
      </c>
      <c r="C22" s="18">
        <f t="shared" ref="C22:M22" si="13">(C21-12)*15</f>
        <v>-105</v>
      </c>
      <c r="D22" s="18">
        <f t="shared" si="13"/>
        <v>-90</v>
      </c>
      <c r="E22" s="18">
        <f t="shared" si="13"/>
        <v>-75</v>
      </c>
      <c r="F22" s="18">
        <f t="shared" si="13"/>
        <v>-60</v>
      </c>
      <c r="G22" s="18">
        <f t="shared" si="13"/>
        <v>-45</v>
      </c>
      <c r="H22" s="50">
        <f t="shared" si="13"/>
        <v>-30</v>
      </c>
      <c r="I22" s="18">
        <f t="shared" si="13"/>
        <v>-15</v>
      </c>
      <c r="J22" s="18">
        <f t="shared" si="13"/>
        <v>0</v>
      </c>
      <c r="K22" s="18">
        <f t="shared" si="13"/>
        <v>15</v>
      </c>
      <c r="L22" s="18">
        <f t="shared" si="13"/>
        <v>30</v>
      </c>
      <c r="M22" s="18">
        <f t="shared" si="13"/>
        <v>45</v>
      </c>
      <c r="N22" s="18">
        <f>(N21-12)*15</f>
        <v>60</v>
      </c>
      <c r="O22" s="18">
        <f>(O21-12)*15</f>
        <v>75</v>
      </c>
      <c r="P22" s="18">
        <f>(P21-12)*15</f>
        <v>90</v>
      </c>
      <c r="Q22" s="18">
        <f>(Q21-12)*15</f>
        <v>105</v>
      </c>
      <c r="R22" s="19">
        <f>(R21-12)*15</f>
        <v>120</v>
      </c>
      <c r="S22" s="15"/>
    </row>
    <row r="23" spans="1:19">
      <c r="A23" s="66">
        <f>E7</f>
        <v>387</v>
      </c>
      <c r="B23" s="20">
        <f t="shared" ref="B23:R23" si="14">DEGREES(ASIN(SIN($C$5)*SIN($D7)+COS($C$5)*COS($D7)*COS(RADIANS(B$22))))</f>
        <v>-29.887005637284428</v>
      </c>
      <c r="C23" s="21">
        <f t="shared" si="14"/>
        <v>-24.082385025918441</v>
      </c>
      <c r="D23" s="21">
        <f t="shared" si="14"/>
        <v>-18.132101662285429</v>
      </c>
      <c r="E23" s="21">
        <f t="shared" si="14"/>
        <v>-12.378456071874831</v>
      </c>
      <c r="F23" s="21">
        <f t="shared" si="14"/>
        <v>-7.1303295853705899</v>
      </c>
      <c r="G23" s="21">
        <f t="shared" si="14"/>
        <v>-2.6729451522599494</v>
      </c>
      <c r="H23" s="51">
        <f t="shared" si="14"/>
        <v>0.73494810563745627</v>
      </c>
      <c r="I23" s="21">
        <f t="shared" si="14"/>
        <v>2.8778069750261746</v>
      </c>
      <c r="J23" s="21">
        <f>DEGREES(ASIN(SIN($C$5)*SIN($D7)+COS($C$5)*COS($D7)*COS(RADIANS(J$22))))</f>
        <v>3.6094675574606718</v>
      </c>
      <c r="K23" s="21">
        <f t="shared" si="14"/>
        <v>2.8778069750261746</v>
      </c>
      <c r="L23" s="21">
        <f t="shared" si="14"/>
        <v>0.73494810563745627</v>
      </c>
      <c r="M23" s="21">
        <f t="shared" si="14"/>
        <v>-2.6729451522599494</v>
      </c>
      <c r="N23" s="21">
        <f t="shared" si="14"/>
        <v>-7.1303295853705899</v>
      </c>
      <c r="O23" s="21">
        <f t="shared" si="14"/>
        <v>-12.378456071874831</v>
      </c>
      <c r="P23" s="21">
        <f t="shared" si="14"/>
        <v>-18.132101662285429</v>
      </c>
      <c r="Q23" s="21">
        <f t="shared" si="14"/>
        <v>-24.082385025918441</v>
      </c>
      <c r="R23" s="22">
        <f t="shared" si="14"/>
        <v>-29.887005637284428</v>
      </c>
      <c r="S23" s="122" t="s">
        <v>16</v>
      </c>
    </row>
    <row r="24" spans="1:19">
      <c r="A24" s="66">
        <f t="shared" ref="A24:A34" si="15">E8</f>
        <v>418</v>
      </c>
      <c r="B24" s="23">
        <f t="shared" ref="B24:R24" si="16">DEGREES(ASIN(SIN($C$5)*SIN($D8)+COS($C$5)*COS($D8)*COS(RADIANS(B$22))))</f>
        <v>-21.209699203567631</v>
      </c>
      <c r="C24" s="24">
        <f t="shared" si="16"/>
        <v>-15.512055529894063</v>
      </c>
      <c r="D24" s="24">
        <f t="shared" si="16"/>
        <v>-9.5669797956321805</v>
      </c>
      <c r="E24" s="24">
        <f t="shared" si="16"/>
        <v>-3.7245467214972985</v>
      </c>
      <c r="F24" s="24">
        <f t="shared" si="16"/>
        <v>1.683674506803448</v>
      </c>
      <c r="G24" s="24">
        <f t="shared" si="16"/>
        <v>6.3380351001022719</v>
      </c>
      <c r="H24" s="52">
        <f t="shared" si="16"/>
        <v>9.9365411610387646</v>
      </c>
      <c r="I24" s="24">
        <f t="shared" si="16"/>
        <v>12.218170790556371</v>
      </c>
      <c r="J24" s="24">
        <f t="shared" si="16"/>
        <v>13.000722890838738</v>
      </c>
      <c r="K24" s="24">
        <f t="shared" si="16"/>
        <v>12.218170790556371</v>
      </c>
      <c r="L24" s="24">
        <f t="shared" si="16"/>
        <v>9.9365411610387646</v>
      </c>
      <c r="M24" s="24">
        <f t="shared" si="16"/>
        <v>6.3380351001022719</v>
      </c>
      <c r="N24" s="24">
        <f t="shared" si="16"/>
        <v>1.683674506803448</v>
      </c>
      <c r="O24" s="24">
        <f t="shared" si="16"/>
        <v>-3.7245467214972985</v>
      </c>
      <c r="P24" s="24">
        <f t="shared" si="16"/>
        <v>-9.5669797956321805</v>
      </c>
      <c r="Q24" s="24">
        <f t="shared" si="16"/>
        <v>-15.512055529894063</v>
      </c>
      <c r="R24" s="26">
        <f t="shared" si="16"/>
        <v>-21.209699203567631</v>
      </c>
      <c r="S24" s="123"/>
    </row>
    <row r="25" spans="1:19">
      <c r="A25" s="66">
        <f t="shared" si="15"/>
        <v>446</v>
      </c>
      <c r="B25" s="23">
        <f t="shared" ref="B25:R25" si="17">DEGREES(ASIN(SIN($C$5)*SIN($D9)+COS($C$5)*COS($D9)*COS(RADIANS(B$22))))</f>
        <v>-11.123097819904336</v>
      </c>
      <c r="C25" s="24">
        <f t="shared" si="17"/>
        <v>-5.5659413629359076</v>
      </c>
      <c r="D25" s="24">
        <f t="shared" si="17"/>
        <v>0.34092741488909467</v>
      </c>
      <c r="E25" s="24">
        <f t="shared" si="17"/>
        <v>6.2514381323010211</v>
      </c>
      <c r="F25" s="24">
        <f t="shared" si="17"/>
        <v>11.818850063796425</v>
      </c>
      <c r="G25" s="24">
        <f t="shared" si="17"/>
        <v>16.689909397899488</v>
      </c>
      <c r="H25" s="52">
        <f t="shared" si="17"/>
        <v>20.51174780068726</v>
      </c>
      <c r="I25" s="24">
        <f t="shared" si="17"/>
        <v>22.962799209675811</v>
      </c>
      <c r="J25" s="24">
        <f t="shared" si="17"/>
        <v>23.808804867298154</v>
      </c>
      <c r="K25" s="24">
        <f t="shared" si="17"/>
        <v>22.962799209675811</v>
      </c>
      <c r="L25" s="24">
        <f t="shared" si="17"/>
        <v>20.51174780068726</v>
      </c>
      <c r="M25" s="24">
        <f t="shared" si="17"/>
        <v>16.689909397899488</v>
      </c>
      <c r="N25" s="24">
        <f t="shared" si="17"/>
        <v>11.818850063796425</v>
      </c>
      <c r="O25" s="24">
        <f t="shared" si="17"/>
        <v>6.2514381323010211</v>
      </c>
      <c r="P25" s="24">
        <f t="shared" si="17"/>
        <v>0.34092741488909467</v>
      </c>
      <c r="Q25" s="24">
        <f t="shared" si="17"/>
        <v>-5.5659413629359076</v>
      </c>
      <c r="R25" s="26">
        <f t="shared" si="17"/>
        <v>-11.123097819904336</v>
      </c>
      <c r="S25" s="123"/>
    </row>
    <row r="26" spans="1:19">
      <c r="A26" s="66">
        <f t="shared" si="15"/>
        <v>477</v>
      </c>
      <c r="B26" s="23">
        <f t="shared" ref="B26:R26" si="18">DEGREES(ASIN(SIN($C$5)*SIN($D10)+COS($C$5)*COS($D10)*COS(RADIANS(B$22))))</f>
        <v>-0.23590044205900396</v>
      </c>
      <c r="C26" s="24">
        <f t="shared" si="18"/>
        <v>5.147625613970523</v>
      </c>
      <c r="D26" s="24">
        <f t="shared" si="18"/>
        <v>10.977547372442187</v>
      </c>
      <c r="E26" s="24">
        <f t="shared" si="18"/>
        <v>16.925405025863359</v>
      </c>
      <c r="F26" s="24">
        <f t="shared" si="18"/>
        <v>22.641619852095033</v>
      </c>
      <c r="G26" s="24">
        <f t="shared" si="18"/>
        <v>27.745666694159887</v>
      </c>
      <c r="H26" s="52">
        <f t="shared" si="18"/>
        <v>31.828611266032606</v>
      </c>
      <c r="I26" s="24">
        <f t="shared" si="18"/>
        <v>34.489117516301384</v>
      </c>
      <c r="J26" s="24">
        <f t="shared" si="18"/>
        <v>35.415901853001422</v>
      </c>
      <c r="K26" s="24">
        <f t="shared" si="18"/>
        <v>34.489117516301384</v>
      </c>
      <c r="L26" s="24">
        <f t="shared" si="18"/>
        <v>31.828611266032606</v>
      </c>
      <c r="M26" s="24">
        <f t="shared" si="18"/>
        <v>27.745666694159887</v>
      </c>
      <c r="N26" s="24">
        <f t="shared" si="18"/>
        <v>22.641619852095033</v>
      </c>
      <c r="O26" s="24">
        <f t="shared" si="18"/>
        <v>16.925405025863359</v>
      </c>
      <c r="P26" s="24">
        <f t="shared" si="18"/>
        <v>10.977547372442187</v>
      </c>
      <c r="Q26" s="24">
        <f t="shared" si="18"/>
        <v>5.147625613970523</v>
      </c>
      <c r="R26" s="26">
        <f t="shared" si="18"/>
        <v>-0.23590044205900396</v>
      </c>
      <c r="S26" s="123"/>
    </row>
    <row r="27" spans="1:19">
      <c r="A27" s="66">
        <f t="shared" si="15"/>
        <v>507</v>
      </c>
      <c r="B27" s="23">
        <f t="shared" ref="B27:R27" si="19">DEGREES(ASIN(SIN($C$5)*SIN($D11)+COS($C$5)*COS($D11)*COS(RADIANS(B$22))))</f>
        <v>7.5288831671792833</v>
      </c>
      <c r="C27" s="24">
        <f t="shared" si="19"/>
        <v>12.769152038516221</v>
      </c>
      <c r="D27" s="24">
        <f t="shared" si="19"/>
        <v>18.518004269061866</v>
      </c>
      <c r="E27" s="24">
        <f t="shared" si="19"/>
        <v>24.467802703017934</v>
      </c>
      <c r="F27" s="24">
        <f t="shared" si="19"/>
        <v>30.276887799716587</v>
      </c>
      <c r="G27" s="24">
        <f t="shared" si="19"/>
        <v>35.553429919271359</v>
      </c>
      <c r="H27" s="52">
        <f t="shared" si="19"/>
        <v>39.848730761099802</v>
      </c>
      <c r="I27" s="24">
        <f t="shared" si="19"/>
        <v>42.690754977464785</v>
      </c>
      <c r="J27" s="24">
        <f t="shared" si="19"/>
        <v>43.689980240074327</v>
      </c>
      <c r="K27" s="24">
        <f t="shared" si="19"/>
        <v>42.690754977464785</v>
      </c>
      <c r="L27" s="24">
        <f t="shared" si="19"/>
        <v>39.848730761099802</v>
      </c>
      <c r="M27" s="24">
        <f t="shared" si="19"/>
        <v>35.553429919271359</v>
      </c>
      <c r="N27" s="24">
        <f t="shared" si="19"/>
        <v>30.276887799716587</v>
      </c>
      <c r="O27" s="24">
        <f t="shared" si="19"/>
        <v>24.467802703017934</v>
      </c>
      <c r="P27" s="24">
        <f t="shared" si="19"/>
        <v>18.518004269061866</v>
      </c>
      <c r="Q27" s="24">
        <f t="shared" si="19"/>
        <v>12.769152038516221</v>
      </c>
      <c r="R27" s="26">
        <f t="shared" si="19"/>
        <v>7.5288831671792833</v>
      </c>
      <c r="S27" s="123"/>
    </row>
    <row r="28" spans="1:19">
      <c r="A28" s="66">
        <f t="shared" si="15"/>
        <v>538</v>
      </c>
      <c r="B28" s="23">
        <f t="shared" ref="B28:R28" si="20">DEGREES(ASIN(SIN($C$5)*SIN($D12)+COS($C$5)*COS($D12)*COS(RADIANS(B$22))))</f>
        <v>10.516563053060224</v>
      </c>
      <c r="C28" s="24">
        <f t="shared" si="20"/>
        <v>15.695885472604088</v>
      </c>
      <c r="D28" s="24">
        <f t="shared" si="20"/>
        <v>21.406311575135522</v>
      </c>
      <c r="E28" s="24">
        <f t="shared" si="20"/>
        <v>27.350163416229734</v>
      </c>
      <c r="F28" s="24">
        <f t="shared" si="20"/>
        <v>33.191489888084355</v>
      </c>
      <c r="G28" s="24">
        <f t="shared" si="20"/>
        <v>38.536727234892211</v>
      </c>
      <c r="H28" s="52">
        <f t="shared" si="20"/>
        <v>42.92251069967093</v>
      </c>
      <c r="I28" s="24">
        <f t="shared" si="20"/>
        <v>45.845515165708917</v>
      </c>
      <c r="J28" s="24">
        <f t="shared" si="20"/>
        <v>46.877887422773334</v>
      </c>
      <c r="K28" s="24">
        <f t="shared" si="20"/>
        <v>45.845515165708917</v>
      </c>
      <c r="L28" s="24">
        <f t="shared" si="20"/>
        <v>42.92251069967093</v>
      </c>
      <c r="M28" s="24">
        <f t="shared" si="20"/>
        <v>38.536727234892211</v>
      </c>
      <c r="N28" s="24">
        <f t="shared" si="20"/>
        <v>33.191489888084355</v>
      </c>
      <c r="O28" s="24">
        <f t="shared" si="20"/>
        <v>27.350163416229734</v>
      </c>
      <c r="P28" s="24">
        <f t="shared" si="20"/>
        <v>21.406311575135522</v>
      </c>
      <c r="Q28" s="24">
        <f t="shared" si="20"/>
        <v>15.695885472604088</v>
      </c>
      <c r="R28" s="26">
        <f t="shared" si="20"/>
        <v>10.516563053060224</v>
      </c>
      <c r="S28" s="123"/>
    </row>
    <row r="29" spans="1:19">
      <c r="A29" s="66">
        <f t="shared" si="15"/>
        <v>568</v>
      </c>
      <c r="B29" s="23">
        <f t="shared" ref="B29:R29" si="21">DEGREES(ASIN(SIN($C$5)*SIN($D13)+COS($C$5)*COS($D13)*COS(RADIANS(B$22))))</f>
        <v>7.6915266549543082</v>
      </c>
      <c r="C29" s="24">
        <f t="shared" si="21"/>
        <v>12.928571329141997</v>
      </c>
      <c r="D29" s="24">
        <f t="shared" si="21"/>
        <v>18.675445829465236</v>
      </c>
      <c r="E29" s="24">
        <f t="shared" si="21"/>
        <v>24.62502635984271</v>
      </c>
      <c r="F29" s="24">
        <f t="shared" si="21"/>
        <v>30.435922853204083</v>
      </c>
      <c r="G29" s="24">
        <f t="shared" si="21"/>
        <v>35.716167783386837</v>
      </c>
      <c r="H29" s="52">
        <f t="shared" si="21"/>
        <v>40.016249889595535</v>
      </c>
      <c r="I29" s="24">
        <f t="shared" si="21"/>
        <v>42.86249488218342</v>
      </c>
      <c r="J29" s="24">
        <f t="shared" si="21"/>
        <v>43.863434524750566</v>
      </c>
      <c r="K29" s="24">
        <f t="shared" si="21"/>
        <v>42.86249488218342</v>
      </c>
      <c r="L29" s="24">
        <f t="shared" si="21"/>
        <v>40.016249889595535</v>
      </c>
      <c r="M29" s="24">
        <f t="shared" si="21"/>
        <v>35.716167783386837</v>
      </c>
      <c r="N29" s="24">
        <f t="shared" si="21"/>
        <v>30.435922853204083</v>
      </c>
      <c r="O29" s="24">
        <f t="shared" si="21"/>
        <v>24.62502635984271</v>
      </c>
      <c r="P29" s="24">
        <f t="shared" si="21"/>
        <v>18.675445829465236</v>
      </c>
      <c r="Q29" s="24">
        <f t="shared" si="21"/>
        <v>12.928571329141997</v>
      </c>
      <c r="R29" s="26">
        <f t="shared" si="21"/>
        <v>7.6915266549543082</v>
      </c>
      <c r="S29" s="123"/>
    </row>
    <row r="30" spans="1:19">
      <c r="A30" s="66">
        <f t="shared" si="15"/>
        <v>599</v>
      </c>
      <c r="B30" s="23">
        <f t="shared" ref="B30:R30" si="22">DEGREES(ASIN(SIN($C$5)*SIN($D14)+COS($C$5)*COS($D14)*COS(RADIANS(B$22))))</f>
        <v>-0.17216973671699934</v>
      </c>
      <c r="C30" s="24">
        <f t="shared" si="22"/>
        <v>5.210256248877104</v>
      </c>
      <c r="D30" s="24">
        <f t="shared" si="22"/>
        <v>11.039609897547612</v>
      </c>
      <c r="E30" s="24">
        <f t="shared" si="22"/>
        <v>16.987573738571651</v>
      </c>
      <c r="F30" s="24">
        <f t="shared" si="22"/>
        <v>22.704597495380387</v>
      </c>
      <c r="G30" s="24">
        <f t="shared" si="22"/>
        <v>27.810030740734067</v>
      </c>
      <c r="H30" s="52">
        <f t="shared" si="22"/>
        <v>31.894609219655933</v>
      </c>
      <c r="I30" s="24">
        <f t="shared" si="22"/>
        <v>34.556470706300608</v>
      </c>
      <c r="J30" s="24">
        <f t="shared" si="22"/>
        <v>35.483787028725949</v>
      </c>
      <c r="K30" s="24">
        <f t="shared" si="22"/>
        <v>34.556470706300608</v>
      </c>
      <c r="L30" s="24">
        <f t="shared" si="22"/>
        <v>31.894609219655933</v>
      </c>
      <c r="M30" s="24">
        <f t="shared" si="22"/>
        <v>27.810030740734067</v>
      </c>
      <c r="N30" s="24">
        <f t="shared" si="22"/>
        <v>22.704597495380387</v>
      </c>
      <c r="O30" s="24">
        <f t="shared" si="22"/>
        <v>16.987573738571651</v>
      </c>
      <c r="P30" s="24">
        <f t="shared" si="22"/>
        <v>11.039609897547612</v>
      </c>
      <c r="Q30" s="24">
        <f t="shared" si="22"/>
        <v>5.210256248877104</v>
      </c>
      <c r="R30" s="26">
        <f t="shared" si="22"/>
        <v>-0.17216973671699934</v>
      </c>
      <c r="S30" s="123"/>
    </row>
    <row r="31" spans="1:19">
      <c r="A31" s="66">
        <f t="shared" si="15"/>
        <v>630</v>
      </c>
      <c r="B31" s="23">
        <f t="shared" ref="B31:R31" si="23">DEGREES(ASIN(SIN($C$5)*SIN($D15)+COS($C$5)*COS($D15)*COS(RADIANS(B$22))))</f>
        <v>-10.888778816862009</v>
      </c>
      <c r="C31" s="24">
        <f t="shared" si="23"/>
        <v>-5.3350964496072528</v>
      </c>
      <c r="D31" s="24">
        <f t="shared" si="23"/>
        <v>0.57051253638274679</v>
      </c>
      <c r="E31" s="24">
        <f t="shared" si="23"/>
        <v>6.4822160543500082</v>
      </c>
      <c r="F31" s="24">
        <f t="shared" si="23"/>
        <v>12.053060295024174</v>
      </c>
      <c r="G31" s="24">
        <f t="shared" si="23"/>
        <v>16.929097305711721</v>
      </c>
      <c r="H31" s="52">
        <f t="shared" si="23"/>
        <v>20.756264054189511</v>
      </c>
      <c r="I31" s="24">
        <f t="shared" si="23"/>
        <v>23.211458946422749</v>
      </c>
      <c r="J31" s="24">
        <f t="shared" si="23"/>
        <v>24.059036372466892</v>
      </c>
      <c r="K31" s="24">
        <f t="shared" si="23"/>
        <v>23.211458946422749</v>
      </c>
      <c r="L31" s="24">
        <f t="shared" si="23"/>
        <v>20.756264054189511</v>
      </c>
      <c r="M31" s="24">
        <f t="shared" si="23"/>
        <v>16.929097305711721</v>
      </c>
      <c r="N31" s="24">
        <f t="shared" si="23"/>
        <v>12.053060295024174</v>
      </c>
      <c r="O31" s="24">
        <f t="shared" si="23"/>
        <v>6.4822160543500082</v>
      </c>
      <c r="P31" s="24">
        <f t="shared" si="23"/>
        <v>0.57051253638274679</v>
      </c>
      <c r="Q31" s="24">
        <f t="shared" si="23"/>
        <v>-5.3350964496072528</v>
      </c>
      <c r="R31" s="26">
        <f t="shared" si="23"/>
        <v>-10.888778816862009</v>
      </c>
      <c r="S31" s="123"/>
    </row>
    <row r="32" spans="1:19">
      <c r="A32" s="66">
        <f t="shared" si="15"/>
        <v>660</v>
      </c>
      <c r="B32" s="23">
        <f t="shared" ref="B32:R32" si="24">DEGREES(ASIN(SIN($C$5)*SIN($D16)+COS($C$5)*COS($D16)*COS(RADIANS(B$22))))</f>
        <v>-21.532740255811909</v>
      </c>
      <c r="C32" s="24">
        <f t="shared" si="24"/>
        <v>-15.830877205202301</v>
      </c>
      <c r="D32" s="24">
        <f t="shared" si="24"/>
        <v>-9.8851129708002183</v>
      </c>
      <c r="E32" s="24">
        <f t="shared" si="24"/>
        <v>-4.0454353402106946</v>
      </c>
      <c r="F32" s="24">
        <f t="shared" si="24"/>
        <v>1.3572668178001639</v>
      </c>
      <c r="G32" s="24">
        <f t="shared" si="24"/>
        <v>6.0045358401053006</v>
      </c>
      <c r="H32" s="52">
        <f t="shared" si="24"/>
        <v>9.5959925118535221</v>
      </c>
      <c r="I32" s="24">
        <f t="shared" si="24"/>
        <v>11.87240064611554</v>
      </c>
      <c r="J32" s="24">
        <f t="shared" si="24"/>
        <v>12.653021118067871</v>
      </c>
      <c r="K32" s="24">
        <f t="shared" si="24"/>
        <v>11.87240064611554</v>
      </c>
      <c r="L32" s="24">
        <f t="shared" si="24"/>
        <v>9.5959925118535221</v>
      </c>
      <c r="M32" s="24">
        <f t="shared" si="24"/>
        <v>6.0045358401053006</v>
      </c>
      <c r="N32" s="24">
        <f t="shared" si="24"/>
        <v>1.3572668178001639</v>
      </c>
      <c r="O32" s="24">
        <f t="shared" si="24"/>
        <v>-4.0454353402106946</v>
      </c>
      <c r="P32" s="24">
        <f t="shared" si="24"/>
        <v>-9.8851129708002183</v>
      </c>
      <c r="Q32" s="24">
        <f t="shared" si="24"/>
        <v>-15.830877205202301</v>
      </c>
      <c r="R32" s="26">
        <f t="shared" si="24"/>
        <v>-21.532740255811909</v>
      </c>
      <c r="S32" s="123"/>
    </row>
    <row r="33" spans="1:19">
      <c r="A33" s="66">
        <f t="shared" si="15"/>
        <v>691</v>
      </c>
      <c r="B33" s="23">
        <f t="shared" ref="B33:R33" si="25">DEGREES(ASIN(SIN($C$5)*SIN($D17)+COS($C$5)*COS($D17)*COS(RADIANS(B$22))))</f>
        <v>-30.022574479180506</v>
      </c>
      <c r="C33" s="24">
        <f t="shared" si="25"/>
        <v>-24.216397691321884</v>
      </c>
      <c r="D33" s="24">
        <f t="shared" si="25"/>
        <v>-18.266275060157309</v>
      </c>
      <c r="E33" s="24">
        <f t="shared" si="25"/>
        <v>-12.514287377329669</v>
      </c>
      <c r="F33" s="24">
        <f t="shared" si="25"/>
        <v>-7.2688856578270027</v>
      </c>
      <c r="G33" s="24">
        <f t="shared" si="25"/>
        <v>-2.8147143104755346</v>
      </c>
      <c r="H33" s="52">
        <f t="shared" si="25"/>
        <v>0.59015276881264445</v>
      </c>
      <c r="I33" s="24">
        <f t="shared" si="25"/>
        <v>2.7308469047037236</v>
      </c>
      <c r="J33" s="24">
        <f t="shared" si="25"/>
        <v>3.4617206458166332</v>
      </c>
      <c r="K33" s="24">
        <f t="shared" si="25"/>
        <v>2.7308469047037236</v>
      </c>
      <c r="L33" s="24">
        <f t="shared" si="25"/>
        <v>0.59015276881264445</v>
      </c>
      <c r="M33" s="24">
        <f t="shared" si="25"/>
        <v>-2.8147143104755346</v>
      </c>
      <c r="N33" s="24">
        <f t="shared" si="25"/>
        <v>-7.2688856578270027</v>
      </c>
      <c r="O33" s="24">
        <f t="shared" si="25"/>
        <v>-12.514287377329669</v>
      </c>
      <c r="P33" s="24">
        <f t="shared" si="25"/>
        <v>-18.266275060157309</v>
      </c>
      <c r="Q33" s="24">
        <f t="shared" si="25"/>
        <v>-24.216397691321884</v>
      </c>
      <c r="R33" s="26">
        <f t="shared" si="25"/>
        <v>-30.022574479180506</v>
      </c>
      <c r="S33" s="123"/>
    </row>
    <row r="34" spans="1:19" ht="13.8" thickBot="1">
      <c r="A34" s="67">
        <f t="shared" si="15"/>
        <v>721</v>
      </c>
      <c r="B34" s="27">
        <f t="shared" ref="B34:R34" si="26">DEGREES(ASIN(SIN($C$5)*SIN($D18)+COS($C$5)*COS($D18)*COS(RADIANS(B$22))))</f>
        <v>-33.191099588476334</v>
      </c>
      <c r="C34" s="28">
        <f t="shared" si="26"/>
        <v>-27.349777290231966</v>
      </c>
      <c r="D34" s="28">
        <f t="shared" si="26"/>
        <v>-21.405924362846619</v>
      </c>
      <c r="E34" s="28">
        <f t="shared" si="26"/>
        <v>-15.695492791657848</v>
      </c>
      <c r="F34" s="28">
        <f t="shared" si="26"/>
        <v>-10.516161934318294</v>
      </c>
      <c r="G34" s="28">
        <f t="shared" si="26"/>
        <v>-6.1386843125113142</v>
      </c>
      <c r="H34" s="53">
        <f t="shared" si="26"/>
        <v>-2.8053338707392292</v>
      </c>
      <c r="I34" s="28">
        <f t="shared" si="26"/>
        <v>-0.71547408792296663</v>
      </c>
      <c r="J34" s="28">
        <f t="shared" si="26"/>
        <v>-3.0191617777162675E-3</v>
      </c>
      <c r="K34" s="28">
        <f t="shared" si="26"/>
        <v>-0.71547408792296663</v>
      </c>
      <c r="L34" s="28">
        <f t="shared" si="26"/>
        <v>-2.8053338707392292</v>
      </c>
      <c r="M34" s="28">
        <f t="shared" si="26"/>
        <v>-6.1386843125113142</v>
      </c>
      <c r="N34" s="28">
        <f t="shared" si="26"/>
        <v>-10.516161934318294</v>
      </c>
      <c r="O34" s="28">
        <f t="shared" si="26"/>
        <v>-15.695492791657848</v>
      </c>
      <c r="P34" s="28">
        <f t="shared" si="26"/>
        <v>-21.405924362846619</v>
      </c>
      <c r="Q34" s="28">
        <f t="shared" si="26"/>
        <v>-27.349777290231966</v>
      </c>
      <c r="R34" s="29">
        <f t="shared" si="26"/>
        <v>-33.191099588476334</v>
      </c>
      <c r="S34" s="124"/>
    </row>
    <row r="35" spans="1:19">
      <c r="A35" s="30" t="s">
        <v>1</v>
      </c>
      <c r="B35" s="20">
        <f t="shared" ref="B35:R35" si="27">DEGREES(ACOS((SIN($C$5)*COS($D7)*COS(RADIANS(B$22))-COS($C$5)*SIN($D7))/COS(RADIANS(B23))))*SIGN(B$22)</f>
        <v>-110.00738619431483</v>
      </c>
      <c r="C35" s="21">
        <f t="shared" si="27"/>
        <v>-95.561302369572985</v>
      </c>
      <c r="D35" s="21">
        <f t="shared" si="27"/>
        <v>-81.838615058794957</v>
      </c>
      <c r="E35" s="21">
        <f t="shared" si="27"/>
        <v>-68.479896239426111</v>
      </c>
      <c r="F35" s="21">
        <f t="shared" si="27"/>
        <v>-55.188438708754568</v>
      </c>
      <c r="G35" s="21">
        <f t="shared" si="27"/>
        <v>-41.752297572355587</v>
      </c>
      <c r="H35" s="51">
        <f t="shared" si="27"/>
        <v>-28.060069132783148</v>
      </c>
      <c r="I35" s="21">
        <f t="shared" si="27"/>
        <v>-14.109912849099818</v>
      </c>
      <c r="J35" s="21">
        <f>DEGREES(ACOS((SIN($C$5)*COS($D7)*COS(RADIANS(J$22))-COS($C$5)*SIN($D7))/COS(RADIANS(J23))))*SIGN(J$22)</f>
        <v>0</v>
      </c>
      <c r="K35" s="21">
        <f t="shared" si="27"/>
        <v>14.109912849099818</v>
      </c>
      <c r="L35" s="21">
        <f t="shared" si="27"/>
        <v>28.060069132783148</v>
      </c>
      <c r="M35" s="21">
        <f t="shared" si="27"/>
        <v>41.752297572355587</v>
      </c>
      <c r="N35" s="21">
        <f t="shared" si="27"/>
        <v>55.188438708754568</v>
      </c>
      <c r="O35" s="21">
        <f t="shared" si="27"/>
        <v>68.479896239426111</v>
      </c>
      <c r="P35" s="21">
        <f t="shared" si="27"/>
        <v>81.838615058794957</v>
      </c>
      <c r="Q35" s="21">
        <f t="shared" si="27"/>
        <v>95.561302369572985</v>
      </c>
      <c r="R35" s="22">
        <f t="shared" si="27"/>
        <v>110.00738619431483</v>
      </c>
      <c r="S35" s="125" t="s">
        <v>17</v>
      </c>
    </row>
    <row r="36" spans="1:19">
      <c r="A36" s="30" t="s">
        <v>2</v>
      </c>
      <c r="B36" s="23">
        <f t="shared" ref="B36:R36" si="28">DEGREES(ACOS((SIN($C$5)*COS($D8)*COS(RADIANS(B$22))-COS($C$5)*SIN($D8))/COS(RADIANS(B24))))*SIGN(B$22)</f>
        <v>-113.99487918901887</v>
      </c>
      <c r="C36" s="24">
        <f t="shared" si="28"/>
        <v>-99.647846622410142</v>
      </c>
      <c r="D36" s="24">
        <f t="shared" si="28"/>
        <v>-85.80990477743633</v>
      </c>
      <c r="E36" s="24">
        <f t="shared" si="28"/>
        <v>-72.167617597029633</v>
      </c>
      <c r="F36" s="24">
        <f t="shared" si="28"/>
        <v>-58.437093240484231</v>
      </c>
      <c r="G36" s="24">
        <f t="shared" si="28"/>
        <v>-44.401749625897182</v>
      </c>
      <c r="H36" s="52">
        <f t="shared" si="28"/>
        <v>-29.948187650960936</v>
      </c>
      <c r="I36" s="24">
        <f t="shared" si="28"/>
        <v>-15.095958509784355</v>
      </c>
      <c r="J36" s="24">
        <f t="shared" si="28"/>
        <v>0</v>
      </c>
      <c r="K36" s="24">
        <f t="shared" si="28"/>
        <v>15.095958509784355</v>
      </c>
      <c r="L36" s="24">
        <f t="shared" si="28"/>
        <v>29.948187650960936</v>
      </c>
      <c r="M36" s="24">
        <f t="shared" si="28"/>
        <v>44.401749625897182</v>
      </c>
      <c r="N36" s="24">
        <f t="shared" si="28"/>
        <v>58.437093240484231</v>
      </c>
      <c r="O36" s="24">
        <f t="shared" si="28"/>
        <v>72.167617597029633</v>
      </c>
      <c r="P36" s="24">
        <f t="shared" si="28"/>
        <v>85.80990477743633</v>
      </c>
      <c r="Q36" s="24">
        <f t="shared" si="28"/>
        <v>99.647846622410142</v>
      </c>
      <c r="R36" s="26">
        <f t="shared" si="28"/>
        <v>113.99487918901887</v>
      </c>
      <c r="S36" s="126"/>
    </row>
    <row r="37" spans="1:19">
      <c r="A37" s="30" t="s">
        <v>3</v>
      </c>
      <c r="B37" s="23">
        <f t="shared" ref="B37:R37" si="29">DEGREES(ACOS((SIN($C$5)*COS($D9)*COS(RADIANS(B$22))-COS($C$5)*SIN($D9))/COS(RADIANS(B25))))*SIGN(B$22)</f>
        <v>-118.04402427145359</v>
      </c>
      <c r="C37" s="24">
        <f t="shared" si="29"/>
        <v>-103.95602746067919</v>
      </c>
      <c r="D37" s="24">
        <f t="shared" si="29"/>
        <v>-90.147797392356836</v>
      </c>
      <c r="E37" s="24">
        <f t="shared" si="29"/>
        <v>-76.332553526010827</v>
      </c>
      <c r="F37" s="24">
        <f t="shared" si="29"/>
        <v>-62.22251027626767</v>
      </c>
      <c r="G37" s="24">
        <f t="shared" si="29"/>
        <v>-47.577421120044349</v>
      </c>
      <c r="H37" s="52">
        <f t="shared" si="29"/>
        <v>-32.26489717898157</v>
      </c>
      <c r="I37" s="24">
        <f t="shared" si="29"/>
        <v>-16.325116862266899</v>
      </c>
      <c r="J37" s="24">
        <f t="shared" si="29"/>
        <v>0</v>
      </c>
      <c r="K37" s="24">
        <f t="shared" si="29"/>
        <v>16.325116862266899</v>
      </c>
      <c r="L37" s="24">
        <f t="shared" si="29"/>
        <v>32.26489717898157</v>
      </c>
      <c r="M37" s="24">
        <f t="shared" si="29"/>
        <v>47.577421120044349</v>
      </c>
      <c r="N37" s="24">
        <f t="shared" si="29"/>
        <v>62.22251027626767</v>
      </c>
      <c r="O37" s="24">
        <f t="shared" si="29"/>
        <v>76.332553526010827</v>
      </c>
      <c r="P37" s="24">
        <f t="shared" si="29"/>
        <v>90.147797392356836</v>
      </c>
      <c r="Q37" s="24">
        <f t="shared" si="29"/>
        <v>103.95602746067919</v>
      </c>
      <c r="R37" s="26">
        <f t="shared" si="29"/>
        <v>118.04402427145359</v>
      </c>
      <c r="S37" s="126"/>
    </row>
    <row r="38" spans="1:19">
      <c r="A38" s="30" t="s">
        <v>4</v>
      </c>
      <c r="B38" s="23">
        <f t="shared" ref="B38:R38" si="30">DEGREES(ACOS((SIN($C$5)*COS($D10)*COS(RADIANS(B$22))-COS($C$5)*SIN($D10))/COS(RADIANS(B26))))*SIGN(B$22)</f>
        <v>-122.0942995582744</v>
      </c>
      <c r="C38" s="24">
        <f t="shared" si="30"/>
        <v>-108.42847342184564</v>
      </c>
      <c r="D38" s="24">
        <f t="shared" si="30"/>
        <v>-94.823672200266031</v>
      </c>
      <c r="E38" s="24">
        <f t="shared" si="30"/>
        <v>-80.994821160932176</v>
      </c>
      <c r="F38" s="24">
        <f t="shared" si="30"/>
        <v>-66.622453431039062</v>
      </c>
      <c r="G38" s="24">
        <f t="shared" si="30"/>
        <v>-51.404771392597702</v>
      </c>
      <c r="H38" s="52">
        <f t="shared" si="30"/>
        <v>-35.14708269359042</v>
      </c>
      <c r="I38" s="24">
        <f t="shared" si="30"/>
        <v>-17.889008740144554</v>
      </c>
      <c r="J38" s="24">
        <f t="shared" si="30"/>
        <v>0</v>
      </c>
      <c r="K38" s="24">
        <f t="shared" si="30"/>
        <v>17.889008740144554</v>
      </c>
      <c r="L38" s="24">
        <f t="shared" si="30"/>
        <v>35.14708269359042</v>
      </c>
      <c r="M38" s="24">
        <f t="shared" si="30"/>
        <v>51.404771392597702</v>
      </c>
      <c r="N38" s="24">
        <f t="shared" si="30"/>
        <v>66.622453431039062</v>
      </c>
      <c r="O38" s="24">
        <f t="shared" si="30"/>
        <v>80.994821160932176</v>
      </c>
      <c r="P38" s="24">
        <f t="shared" si="30"/>
        <v>94.823672200266031</v>
      </c>
      <c r="Q38" s="24">
        <f t="shared" si="30"/>
        <v>108.42847342184564</v>
      </c>
      <c r="R38" s="26">
        <f t="shared" si="30"/>
        <v>122.0942995582744</v>
      </c>
      <c r="S38" s="126"/>
    </row>
    <row r="39" spans="1:19">
      <c r="A39" s="30" t="s">
        <v>5</v>
      </c>
      <c r="B39" s="23">
        <f t="shared" ref="B39:R39" si="31">DEGREES(ACOS((SIN($C$5)*COS($D11)*COS(RADIANS(B$22))-COS($C$5)*SIN($D11))/COS(RADIANS(B27))))*SIGN(B$22)</f>
        <v>-124.96038074373428</v>
      </c>
      <c r="C39" s="24">
        <f t="shared" si="31"/>
        <v>-111.69151213679133</v>
      </c>
      <c r="D39" s="24">
        <f t="shared" si="31"/>
        <v>-98.3489736603469</v>
      </c>
      <c r="E39" s="24">
        <f t="shared" si="31"/>
        <v>-84.635194452921667</v>
      </c>
      <c r="F39" s="24">
        <f t="shared" si="31"/>
        <v>-70.188134121409135</v>
      </c>
      <c r="G39" s="24">
        <f t="shared" si="31"/>
        <v>-54.627140977507352</v>
      </c>
      <c r="H39" s="52">
        <f t="shared" si="31"/>
        <v>-37.661741742108958</v>
      </c>
      <c r="I39" s="24">
        <f t="shared" si="31"/>
        <v>-19.290209382363113</v>
      </c>
      <c r="J39" s="24" t="e">
        <f>DEGREES(ACOS((SIN($C$5)*COS($D11)*COS(RADIANS(J$22))-COS($C$5)*SIN($D11))/COS(RADIANS(J27))))*SIGN(J$22)</f>
        <v>#NUM!</v>
      </c>
      <c r="K39" s="24">
        <f t="shared" si="31"/>
        <v>19.290209382363113</v>
      </c>
      <c r="L39" s="24">
        <f t="shared" si="31"/>
        <v>37.661741742108958</v>
      </c>
      <c r="M39" s="24">
        <f t="shared" si="31"/>
        <v>54.627140977507352</v>
      </c>
      <c r="N39" s="24">
        <f t="shared" si="31"/>
        <v>70.188134121409135</v>
      </c>
      <c r="O39" s="24">
        <f t="shared" si="31"/>
        <v>84.635194452921667</v>
      </c>
      <c r="P39" s="24">
        <f t="shared" si="31"/>
        <v>98.3489736603469</v>
      </c>
      <c r="Q39" s="24">
        <f t="shared" si="31"/>
        <v>111.69151213679133</v>
      </c>
      <c r="R39" s="26">
        <f t="shared" si="31"/>
        <v>124.96038074373428</v>
      </c>
      <c r="S39" s="126"/>
    </row>
    <row r="40" spans="1:19">
      <c r="A40" s="30" t="s">
        <v>6</v>
      </c>
      <c r="B40" s="23">
        <f t="shared" ref="B40:R40" si="32">DEGREES(ACOS((SIN($C$5)*COS($D12)*COS(RADIANS(B$22))-COS($C$5)*SIN($D12))/COS(RADIANS(B28))))*SIGN(B$22)</f>
        <v>-126.08644004379019</v>
      </c>
      <c r="C40" s="24">
        <f t="shared" si="32"/>
        <v>-112.99541803971289</v>
      </c>
      <c r="D40" s="24">
        <f t="shared" si="32"/>
        <v>-99.78467061622473</v>
      </c>
      <c r="E40" s="24">
        <f t="shared" si="32"/>
        <v>-86.149547805250961</v>
      </c>
      <c r="F40" s="24">
        <f t="shared" si="32"/>
        <v>-71.706964258474599</v>
      </c>
      <c r="G40" s="24">
        <f t="shared" si="32"/>
        <v>-56.035438034356673</v>
      </c>
      <c r="H40" s="52">
        <f t="shared" si="32"/>
        <v>-38.788926913382682</v>
      </c>
      <c r="I40" s="24">
        <f t="shared" si="32"/>
        <v>-19.930840986524625</v>
      </c>
      <c r="J40" s="24">
        <f t="shared" si="32"/>
        <v>0</v>
      </c>
      <c r="K40" s="24">
        <f t="shared" si="32"/>
        <v>19.930840986524625</v>
      </c>
      <c r="L40" s="24">
        <f t="shared" si="32"/>
        <v>38.788926913382682</v>
      </c>
      <c r="M40" s="24">
        <f t="shared" si="32"/>
        <v>56.035438034356673</v>
      </c>
      <c r="N40" s="24">
        <f t="shared" si="32"/>
        <v>71.706964258474599</v>
      </c>
      <c r="O40" s="24">
        <f t="shared" si="32"/>
        <v>86.149547805250961</v>
      </c>
      <c r="P40" s="24">
        <f t="shared" si="32"/>
        <v>99.78467061622473</v>
      </c>
      <c r="Q40" s="24">
        <f t="shared" si="32"/>
        <v>112.99541803971289</v>
      </c>
      <c r="R40" s="26">
        <f t="shared" si="32"/>
        <v>126.08644004379019</v>
      </c>
      <c r="S40" s="126"/>
    </row>
    <row r="41" spans="1:19">
      <c r="A41" s="30" t="s">
        <v>7</v>
      </c>
      <c r="B41" s="23">
        <f t="shared" ref="B41:R41" si="33">DEGREES(ACOS((SIN($C$5)*COS($D13)*COS(RADIANS(B$22))-COS($C$5)*SIN($D13))/COS(RADIANS(B29))))*SIGN(B$22)</f>
        <v>-125.02119481111318</v>
      </c>
      <c r="C41" s="24">
        <f t="shared" si="33"/>
        <v>-111.76161877039027</v>
      </c>
      <c r="D41" s="24">
        <f t="shared" si="33"/>
        <v>-98.425774836960855</v>
      </c>
      <c r="E41" s="24">
        <f t="shared" si="33"/>
        <v>-84.715733798381578</v>
      </c>
      <c r="F41" s="24">
        <f t="shared" si="33"/>
        <v>-70.268375895025287</v>
      </c>
      <c r="G41" s="24">
        <f t="shared" si="33"/>
        <v>-54.700993211007621</v>
      </c>
      <c r="H41" s="52">
        <f t="shared" si="33"/>
        <v>-37.720408756797703</v>
      </c>
      <c r="I41" s="24">
        <f t="shared" si="33"/>
        <v>-19.323351912673665</v>
      </c>
      <c r="J41" s="25">
        <f>DEGREES(ACOS((SIN($C$5)*COS($D13)*COS(RADIANS(J$22))-COS($C$5)*SIN($D13))/COS(RADIANS(J29))))*SIGN(J$22)</f>
        <v>0</v>
      </c>
      <c r="K41" s="24">
        <f t="shared" si="33"/>
        <v>19.323351912673665</v>
      </c>
      <c r="L41" s="24">
        <f t="shared" si="33"/>
        <v>37.720408756797703</v>
      </c>
      <c r="M41" s="24">
        <f t="shared" si="33"/>
        <v>54.700993211007621</v>
      </c>
      <c r="N41" s="24">
        <f t="shared" si="33"/>
        <v>70.268375895025287</v>
      </c>
      <c r="O41" s="24">
        <f t="shared" si="33"/>
        <v>84.715733798381578</v>
      </c>
      <c r="P41" s="24">
        <f t="shared" si="33"/>
        <v>98.425774836960855</v>
      </c>
      <c r="Q41" s="24">
        <f t="shared" si="33"/>
        <v>111.76161877039027</v>
      </c>
      <c r="R41" s="26">
        <f t="shared" si="33"/>
        <v>125.02119481111318</v>
      </c>
      <c r="S41" s="126"/>
    </row>
    <row r="42" spans="1:19">
      <c r="A42" s="30" t="s">
        <v>8</v>
      </c>
      <c r="B42" s="23">
        <f t="shared" ref="B42:R42" si="34">DEGREES(ACOS((SIN($C$5)*COS($D14)*COS(RADIANS(B$22))-COS($C$5)*SIN($D14))/COS(RADIANS(B30))))*SIGN(B$22)</f>
        <v>-122.11768334048071</v>
      </c>
      <c r="C42" s="24">
        <f t="shared" si="34"/>
        <v>-108.45476856524145</v>
      </c>
      <c r="D42" s="24">
        <f t="shared" si="34"/>
        <v>-94.851694950612256</v>
      </c>
      <c r="E42" s="24">
        <f t="shared" si="34"/>
        <v>-81.023326642824955</v>
      </c>
      <c r="F42" s="24">
        <f t="shared" si="34"/>
        <v>-66.649917839160906</v>
      </c>
      <c r="G42" s="24">
        <f t="shared" si="34"/>
        <v>-51.429161375981451</v>
      </c>
      <c r="H42" s="52">
        <f t="shared" si="34"/>
        <v>-35.165798144280615</v>
      </c>
      <c r="I42" s="24">
        <f t="shared" si="34"/>
        <v>-17.899303710220288</v>
      </c>
      <c r="J42" s="24">
        <f t="shared" si="34"/>
        <v>0</v>
      </c>
      <c r="K42" s="24">
        <f t="shared" si="34"/>
        <v>17.899303710220288</v>
      </c>
      <c r="L42" s="24">
        <f t="shared" si="34"/>
        <v>35.165798144280615</v>
      </c>
      <c r="M42" s="24">
        <f t="shared" si="34"/>
        <v>51.429161375981451</v>
      </c>
      <c r="N42" s="24">
        <f t="shared" si="34"/>
        <v>66.649917839160906</v>
      </c>
      <c r="O42" s="24">
        <f t="shared" si="34"/>
        <v>81.023326642824955</v>
      </c>
      <c r="P42" s="24">
        <f t="shared" si="34"/>
        <v>94.851694950612256</v>
      </c>
      <c r="Q42" s="24">
        <f t="shared" si="34"/>
        <v>108.45476856524145</v>
      </c>
      <c r="R42" s="26">
        <f t="shared" si="34"/>
        <v>122.11768334048071</v>
      </c>
      <c r="S42" s="126"/>
    </row>
    <row r="43" spans="1:19">
      <c r="A43" s="30" t="s">
        <v>9</v>
      </c>
      <c r="B43" s="23">
        <f t="shared" ref="B43:R43" si="35">DEGREES(ACOS((SIN($C$5)*COS($D15)*COS(RADIANS(B$22))-COS($C$5)*SIN($D15))/COS(RADIANS(B31))))*SIGN(B$22)</f>
        <v>-118.13347858306668</v>
      </c>
      <c r="C43" s="24">
        <f t="shared" si="35"/>
        <v>-104.05303961338872</v>
      </c>
      <c r="D43" s="24">
        <f t="shared" si="35"/>
        <v>-90.247331899779297</v>
      </c>
      <c r="E43" s="24">
        <f t="shared" si="35"/>
        <v>-76.429887352793514</v>
      </c>
      <c r="F43" s="24">
        <f t="shared" si="35"/>
        <v>-62.312555845465766</v>
      </c>
      <c r="G43" s="24">
        <f t="shared" si="35"/>
        <v>-47.65422110467123</v>
      </c>
      <c r="H43" s="52">
        <f t="shared" si="35"/>
        <v>-32.321717485266674</v>
      </c>
      <c r="I43" s="24">
        <f t="shared" si="35"/>
        <v>-16.355557419048107</v>
      </c>
      <c r="J43" s="24">
        <f t="shared" si="35"/>
        <v>0</v>
      </c>
      <c r="K43" s="24">
        <f t="shared" si="35"/>
        <v>16.355557419048107</v>
      </c>
      <c r="L43" s="24">
        <f t="shared" si="35"/>
        <v>32.321717485266674</v>
      </c>
      <c r="M43" s="24">
        <f t="shared" si="35"/>
        <v>47.65422110467123</v>
      </c>
      <c r="N43" s="24">
        <f t="shared" si="35"/>
        <v>62.312555845465766</v>
      </c>
      <c r="O43" s="24">
        <f t="shared" si="35"/>
        <v>76.429887352793514</v>
      </c>
      <c r="P43" s="24">
        <f t="shared" si="35"/>
        <v>90.247331899779297</v>
      </c>
      <c r="Q43" s="24">
        <f t="shared" si="35"/>
        <v>104.05303961338872</v>
      </c>
      <c r="R43" s="26">
        <f t="shared" si="35"/>
        <v>118.13347858306668</v>
      </c>
      <c r="S43" s="126"/>
    </row>
    <row r="44" spans="1:19">
      <c r="A44" s="30" t="s">
        <v>10</v>
      </c>
      <c r="B44" s="23">
        <f t="shared" ref="B44:R44" si="36">DEGREES(ACOS((SIN($C$5)*COS($D16)*COS(RADIANS(B$22))-COS($C$5)*SIN($D16))/COS(RADIANS(B32))))*SIGN(B$22)</f>
        <v>-113.85677062629851</v>
      </c>
      <c r="C44" s="24">
        <f t="shared" si="36"/>
        <v>-99.503748022823558</v>
      </c>
      <c r="D44" s="24">
        <f t="shared" si="36"/>
        <v>-85.667545172161141</v>
      </c>
      <c r="E44" s="24">
        <f t="shared" si="36"/>
        <v>-72.03341722386071</v>
      </c>
      <c r="F44" s="24">
        <f t="shared" si="36"/>
        <v>-58.317240431400982</v>
      </c>
      <c r="G44" s="24">
        <f t="shared" si="36"/>
        <v>-44.30281576655058</v>
      </c>
      <c r="H44" s="52">
        <f t="shared" si="36"/>
        <v>-29.876990653809063</v>
      </c>
      <c r="I44" s="24">
        <f t="shared" si="36"/>
        <v>-15.058534899511992</v>
      </c>
      <c r="J44" s="24">
        <f t="shared" si="36"/>
        <v>0</v>
      </c>
      <c r="K44" s="24">
        <f t="shared" si="36"/>
        <v>15.058534899511992</v>
      </c>
      <c r="L44" s="24">
        <f t="shared" si="36"/>
        <v>29.876990653809063</v>
      </c>
      <c r="M44" s="24">
        <f t="shared" si="36"/>
        <v>44.30281576655058</v>
      </c>
      <c r="N44" s="24">
        <f t="shared" si="36"/>
        <v>58.317240431400982</v>
      </c>
      <c r="O44" s="24">
        <f t="shared" si="36"/>
        <v>72.03341722386071</v>
      </c>
      <c r="P44" s="24">
        <f t="shared" si="36"/>
        <v>85.667545172161141</v>
      </c>
      <c r="Q44" s="24">
        <f t="shared" si="36"/>
        <v>99.503748022823558</v>
      </c>
      <c r="R44" s="26">
        <f t="shared" si="36"/>
        <v>113.85677062629851</v>
      </c>
      <c r="S44" s="126"/>
    </row>
    <row r="45" spans="1:19">
      <c r="A45" s="30" t="s">
        <v>11</v>
      </c>
      <c r="B45" s="23">
        <f t="shared" ref="B45:R45" si="37">DEGREES(ACOS((SIN($C$5)*COS($D17)*COS(RADIANS(B$22))-COS($C$5)*SIN($D17))/COS(RADIANS(B33))))*SIGN(B$22)</f>
        <v>-109.93959137649975</v>
      </c>
      <c r="C45" s="24">
        <f t="shared" si="37"/>
        <v>-95.49312853992727</v>
      </c>
      <c r="D45" s="24">
        <f t="shared" si="37"/>
        <v>-81.773497725278872</v>
      </c>
      <c r="E45" s="24">
        <f t="shared" si="37"/>
        <v>-68.420367979123498</v>
      </c>
      <c r="F45" s="24">
        <f t="shared" si="37"/>
        <v>-55.136734205356298</v>
      </c>
      <c r="G45" s="24">
        <f t="shared" si="37"/>
        <v>-41.710648663198775</v>
      </c>
      <c r="H45" s="52">
        <f t="shared" si="37"/>
        <v>-28.030682464629955</v>
      </c>
      <c r="I45" s="24">
        <f t="shared" si="37"/>
        <v>-14.09466672975741</v>
      </c>
      <c r="J45" s="24">
        <f t="shared" si="37"/>
        <v>0</v>
      </c>
      <c r="K45" s="24">
        <f t="shared" si="37"/>
        <v>14.09466672975741</v>
      </c>
      <c r="L45" s="24">
        <f t="shared" si="37"/>
        <v>28.030682464629955</v>
      </c>
      <c r="M45" s="24">
        <f t="shared" si="37"/>
        <v>41.710648663198775</v>
      </c>
      <c r="N45" s="24">
        <f t="shared" si="37"/>
        <v>55.136734205356298</v>
      </c>
      <c r="O45" s="24">
        <f t="shared" si="37"/>
        <v>68.420367979123498</v>
      </c>
      <c r="P45" s="24">
        <f t="shared" si="37"/>
        <v>81.773497725278872</v>
      </c>
      <c r="Q45" s="24">
        <f t="shared" si="37"/>
        <v>95.49312853992727</v>
      </c>
      <c r="R45" s="26">
        <f t="shared" si="37"/>
        <v>109.93959137649975</v>
      </c>
      <c r="S45" s="126"/>
    </row>
    <row r="46" spans="1:19" ht="13.8" thickBot="1">
      <c r="A46" s="31" t="s">
        <v>12</v>
      </c>
      <c r="B46" s="27">
        <f t="shared" ref="B46:R46" si="38">DEGREES(ACOS((SIN($C$5)*COS($D18)*COS(RADIANS(B$22))-COS($C$5)*SIN($D18))/COS(RADIANS(B34))))*SIGN(B$22)</f>
        <v>-108.29324638603161</v>
      </c>
      <c r="C46" s="28">
        <f t="shared" si="38"/>
        <v>-93.850660748438813</v>
      </c>
      <c r="D46" s="28">
        <f t="shared" si="38"/>
        <v>-80.21552589939148</v>
      </c>
      <c r="E46" s="28">
        <f t="shared" si="38"/>
        <v>-67.004759486735111</v>
      </c>
      <c r="F46" s="28">
        <f t="shared" si="38"/>
        <v>-53.913712556916806</v>
      </c>
      <c r="G46" s="28">
        <f t="shared" si="38"/>
        <v>-40.7299458181201</v>
      </c>
      <c r="H46" s="53">
        <f t="shared" si="38"/>
        <v>-27.341183152294843</v>
      </c>
      <c r="I46" s="28">
        <f t="shared" si="38"/>
        <v>-13.737775467846429</v>
      </c>
      <c r="J46" s="28">
        <f t="shared" si="38"/>
        <v>0</v>
      </c>
      <c r="K46" s="28">
        <f t="shared" si="38"/>
        <v>13.737775467846429</v>
      </c>
      <c r="L46" s="28">
        <f t="shared" si="38"/>
        <v>27.341183152294843</v>
      </c>
      <c r="M46" s="28">
        <f t="shared" si="38"/>
        <v>40.7299458181201</v>
      </c>
      <c r="N46" s="28">
        <f t="shared" si="38"/>
        <v>53.913712556916806</v>
      </c>
      <c r="O46" s="28">
        <f t="shared" si="38"/>
        <v>67.004759486735111</v>
      </c>
      <c r="P46" s="28">
        <f t="shared" si="38"/>
        <v>80.21552589939148</v>
      </c>
      <c r="Q46" s="28">
        <f t="shared" si="38"/>
        <v>93.850660748438813</v>
      </c>
      <c r="R46" s="29">
        <f t="shared" si="38"/>
        <v>108.29324638603161</v>
      </c>
      <c r="S46" s="127"/>
    </row>
  </sheetData>
  <mergeCells count="5">
    <mergeCell ref="E5:F5"/>
    <mergeCell ref="S23:S34"/>
    <mergeCell ref="S35:S46"/>
    <mergeCell ref="C1:E1"/>
    <mergeCell ref="I5:K5"/>
  </mergeCells>
  <phoneticPr fontId="1" type="noConversion"/>
  <dataValidations count="2">
    <dataValidation type="decimal" allowBlank="1" showInputMessage="1" showErrorMessage="1" errorTitle="Latitude en degré" error="Doit être comprise entre -90 et +90." sqref="C3:D3">
      <formula1>-90</formula1>
      <formula2>90</formula2>
    </dataValidation>
    <dataValidation type="decimal" allowBlank="1" showInputMessage="1" showErrorMessage="1" errorTitle="Jour du mois" error="Doit être compris entre 1 et 28._x000a_Bah, oui, sinon, c'est pas facile pour février..." sqref="C4">
      <formula1>1</formula1>
      <formula2>28</formula2>
    </dataValidation>
  </dataValidation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'Villes-Géo'!$C:$C</xm:f>
          </x14:formula1>
          <xm:sqref>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44"/>
  <sheetViews>
    <sheetView topLeftCell="A19" workbookViewId="0">
      <selection activeCell="C40" sqref="C40"/>
    </sheetView>
  </sheetViews>
  <sheetFormatPr baseColWidth="10" defaultRowHeight="13.2"/>
  <cols>
    <col min="1" max="1" width="12.77734375" style="1" bestFit="1" customWidth="1"/>
    <col min="2" max="2" width="4" style="88" bestFit="1" customWidth="1"/>
    <col min="3" max="3" width="17.5546875" bestFit="1" customWidth="1"/>
    <col min="4" max="4" width="6.109375" style="33" bestFit="1" customWidth="1"/>
    <col min="5" max="5" width="4" style="41" bestFit="1" customWidth="1"/>
    <col min="6" max="6" width="6.5546875" style="33" bestFit="1" customWidth="1"/>
    <col min="7" max="7" width="4.88671875" style="41" customWidth="1"/>
    <col min="8" max="9" width="5" style="71" bestFit="1" customWidth="1"/>
    <col min="10" max="10" width="4" style="71" bestFit="1" customWidth="1"/>
    <col min="11" max="11" width="4.88671875" style="71" customWidth="1"/>
    <col min="12" max="12" width="5" bestFit="1" customWidth="1"/>
    <col min="13" max="13" width="4.5546875" style="33" bestFit="1" customWidth="1"/>
    <col min="14" max="14" width="2.88671875" style="1" bestFit="1" customWidth="1"/>
    <col min="15" max="15" width="5" bestFit="1" customWidth="1"/>
    <col min="16" max="16" width="2.33203125" bestFit="1" customWidth="1"/>
    <col min="17" max="17" width="5" style="44" bestFit="1" customWidth="1"/>
    <col min="19" max="19" width="11.5546875" style="88" bestFit="1" customWidth="1"/>
    <col min="20" max="20" width="6.33203125" bestFit="1" customWidth="1"/>
  </cols>
  <sheetData>
    <row r="1" spans="1:20" s="34" customFormat="1">
      <c r="A1" s="55" t="s">
        <v>51</v>
      </c>
      <c r="B1" s="99"/>
      <c r="C1" s="34" t="s">
        <v>19</v>
      </c>
      <c r="D1" s="131" t="s">
        <v>141</v>
      </c>
      <c r="E1" s="131"/>
      <c r="F1" s="131" t="s">
        <v>52</v>
      </c>
      <c r="G1" s="131"/>
      <c r="H1" s="134" t="s">
        <v>105</v>
      </c>
      <c r="I1" s="134"/>
      <c r="J1" s="134"/>
      <c r="K1" s="69"/>
      <c r="L1" s="132" t="s">
        <v>60</v>
      </c>
      <c r="M1" s="132"/>
      <c r="N1" s="132"/>
      <c r="O1" s="132"/>
      <c r="P1" s="132"/>
      <c r="Q1" s="132"/>
      <c r="S1" s="99" t="s">
        <v>135</v>
      </c>
    </row>
    <row r="2" spans="1:20">
      <c r="E2" s="41" t="s">
        <v>67</v>
      </c>
      <c r="G2" s="40" t="s">
        <v>55</v>
      </c>
      <c r="H2" s="70" t="s">
        <v>106</v>
      </c>
      <c r="I2" s="70" t="s">
        <v>107</v>
      </c>
      <c r="J2" s="70" t="s">
        <v>108</v>
      </c>
      <c r="K2" s="70"/>
      <c r="M2" s="43" t="s">
        <v>58</v>
      </c>
      <c r="O2" s="32" t="s">
        <v>59</v>
      </c>
      <c r="Q2" s="44" t="s">
        <v>75</v>
      </c>
      <c r="S2" s="99"/>
      <c r="T2" s="34"/>
    </row>
    <row r="3" spans="1:20">
      <c r="A3" s="133" t="s">
        <v>20</v>
      </c>
      <c r="B3" s="100">
        <v>60</v>
      </c>
      <c r="C3" s="32" t="s">
        <v>25</v>
      </c>
      <c r="D3" s="33">
        <v>49.83</v>
      </c>
      <c r="E3" s="40" t="s">
        <v>53</v>
      </c>
      <c r="F3" s="37">
        <v>2.0952000000000002</v>
      </c>
      <c r="G3" s="40" t="s">
        <v>56</v>
      </c>
      <c r="H3" s="71">
        <v>57</v>
      </c>
      <c r="I3" s="71">
        <v>170</v>
      </c>
      <c r="L3" t="s">
        <v>76</v>
      </c>
      <c r="S3" s="42" t="s">
        <v>20</v>
      </c>
    </row>
    <row r="4" spans="1:20">
      <c r="A4" s="133"/>
      <c r="B4" s="100"/>
      <c r="C4" s="32" t="s">
        <v>26</v>
      </c>
      <c r="D4" s="33">
        <v>48.38</v>
      </c>
      <c r="E4" s="40" t="s">
        <v>53</v>
      </c>
      <c r="F4" s="33">
        <v>-4.4855559999999999</v>
      </c>
      <c r="G4" s="40" t="s">
        <v>54</v>
      </c>
      <c r="H4" s="70">
        <v>0</v>
      </c>
      <c r="I4" s="70">
        <v>103</v>
      </c>
      <c r="J4" s="70"/>
      <c r="K4" s="70"/>
      <c r="L4">
        <v>1.85</v>
      </c>
      <c r="M4" s="33">
        <v>0.35</v>
      </c>
      <c r="N4" s="42" t="s">
        <v>57</v>
      </c>
      <c r="O4">
        <v>0.14000000000000001</v>
      </c>
      <c r="P4" s="32" t="s">
        <v>56</v>
      </c>
      <c r="Q4" s="45">
        <v>2016</v>
      </c>
      <c r="S4" s="42" t="s">
        <v>20</v>
      </c>
    </row>
    <row r="5" spans="1:20">
      <c r="A5" s="133"/>
      <c r="B5" s="100"/>
      <c r="C5" s="32" t="s">
        <v>120</v>
      </c>
      <c r="D5" s="33">
        <v>45.47</v>
      </c>
      <c r="E5" s="40" t="s">
        <v>53</v>
      </c>
      <c r="F5" s="33">
        <v>5.9118000000000004</v>
      </c>
      <c r="G5" s="40" t="s">
        <v>56</v>
      </c>
      <c r="H5" s="70">
        <v>245</v>
      </c>
      <c r="I5" s="70">
        <v>560</v>
      </c>
      <c r="J5" s="70"/>
      <c r="K5" s="70"/>
      <c r="L5" t="s">
        <v>76</v>
      </c>
      <c r="N5" s="42"/>
      <c r="P5" s="32"/>
      <c r="Q5" s="45"/>
      <c r="S5" s="42" t="s">
        <v>20</v>
      </c>
    </row>
    <row r="6" spans="1:20">
      <c r="A6" s="133"/>
      <c r="B6" s="100"/>
      <c r="C6" s="32" t="s">
        <v>121</v>
      </c>
      <c r="D6" s="33">
        <v>48</v>
      </c>
      <c r="E6" s="40" t="s">
        <v>53</v>
      </c>
      <c r="F6" s="33">
        <v>0.19600000000000001</v>
      </c>
      <c r="G6" s="41" t="s">
        <v>56</v>
      </c>
      <c r="H6" s="71">
        <v>38</v>
      </c>
      <c r="I6" s="71">
        <v>134</v>
      </c>
      <c r="L6">
        <v>0.21</v>
      </c>
      <c r="M6" s="33">
        <v>0.35</v>
      </c>
      <c r="N6" s="1" t="s">
        <v>57</v>
      </c>
      <c r="O6">
        <v>0.13</v>
      </c>
      <c r="P6" t="s">
        <v>56</v>
      </c>
      <c r="Q6" s="44">
        <v>2016</v>
      </c>
      <c r="S6" s="42" t="s">
        <v>20</v>
      </c>
    </row>
    <row r="7" spans="1:20">
      <c r="A7" s="133"/>
      <c r="B7" s="100">
        <v>59</v>
      </c>
      <c r="C7" s="32" t="s">
        <v>188</v>
      </c>
      <c r="D7" s="33">
        <v>50.65</v>
      </c>
      <c r="E7" s="40" t="s">
        <v>53</v>
      </c>
      <c r="F7" s="33">
        <v>3.0633330000000001</v>
      </c>
      <c r="G7" s="40" t="s">
        <v>56</v>
      </c>
      <c r="H7" s="71">
        <v>18</v>
      </c>
      <c r="I7" s="71">
        <v>46</v>
      </c>
      <c r="L7" t="s">
        <v>76</v>
      </c>
      <c r="S7" s="42" t="s">
        <v>20</v>
      </c>
    </row>
    <row r="8" spans="1:20">
      <c r="A8" s="133"/>
      <c r="B8" s="100">
        <v>69</v>
      </c>
      <c r="C8" t="s">
        <v>22</v>
      </c>
      <c r="D8" s="33">
        <v>45.76</v>
      </c>
      <c r="E8" s="40" t="s">
        <v>53</v>
      </c>
      <c r="F8" s="33">
        <v>4.8422229999999997</v>
      </c>
      <c r="G8" s="40" t="s">
        <v>56</v>
      </c>
      <c r="H8" s="71">
        <v>162</v>
      </c>
      <c r="I8" s="71">
        <v>305</v>
      </c>
      <c r="L8" t="s">
        <v>76</v>
      </c>
      <c r="S8" s="42" t="s">
        <v>20</v>
      </c>
    </row>
    <row r="9" spans="1:20">
      <c r="A9" s="133"/>
      <c r="B9" s="100">
        <v>13</v>
      </c>
      <c r="C9" s="32" t="s">
        <v>23</v>
      </c>
      <c r="D9" s="33">
        <v>43.3</v>
      </c>
      <c r="E9" s="40" t="s">
        <v>53</v>
      </c>
      <c r="F9" s="33">
        <v>5.3698889999999997</v>
      </c>
      <c r="G9" s="41" t="s">
        <v>56</v>
      </c>
      <c r="H9" s="71">
        <v>0</v>
      </c>
      <c r="I9" s="71">
        <v>652</v>
      </c>
      <c r="L9" t="s">
        <v>76</v>
      </c>
      <c r="S9" s="42" t="s">
        <v>20</v>
      </c>
    </row>
    <row r="10" spans="1:20">
      <c r="A10" s="133"/>
      <c r="B10" s="100">
        <v>44</v>
      </c>
      <c r="C10" s="32" t="s">
        <v>80</v>
      </c>
      <c r="D10" s="33">
        <v>47.21</v>
      </c>
      <c r="E10" s="40" t="s">
        <v>53</v>
      </c>
      <c r="F10" s="33">
        <v>-1.55</v>
      </c>
      <c r="G10" s="40" t="s">
        <v>54</v>
      </c>
      <c r="H10" s="70">
        <v>2</v>
      </c>
      <c r="I10" s="70">
        <v>52</v>
      </c>
      <c r="J10" s="70"/>
      <c r="L10">
        <v>0.75</v>
      </c>
      <c r="M10" s="33">
        <v>0.35</v>
      </c>
      <c r="N10" s="42" t="s">
        <v>57</v>
      </c>
      <c r="O10">
        <v>0.13</v>
      </c>
      <c r="P10" s="32" t="s">
        <v>56</v>
      </c>
      <c r="Q10" s="45">
        <v>2016</v>
      </c>
      <c r="S10" s="42" t="s">
        <v>20</v>
      </c>
    </row>
    <row r="11" spans="1:20">
      <c r="A11" s="133"/>
      <c r="B11" s="100">
        <v>66</v>
      </c>
      <c r="C11" s="32" t="s">
        <v>34</v>
      </c>
      <c r="D11" s="33">
        <v>42.49</v>
      </c>
      <c r="E11" s="40" t="s">
        <v>53</v>
      </c>
      <c r="F11" s="33">
        <v>2.0299999999999998</v>
      </c>
      <c r="G11" s="40" t="s">
        <v>56</v>
      </c>
      <c r="H11" s="71">
        <v>1300</v>
      </c>
      <c r="I11" s="71">
        <v>2213</v>
      </c>
      <c r="L11" t="s">
        <v>76</v>
      </c>
      <c r="S11" s="42" t="s">
        <v>20</v>
      </c>
    </row>
    <row r="12" spans="1:20">
      <c r="A12" s="133"/>
      <c r="B12" s="100">
        <v>75</v>
      </c>
      <c r="C12" s="34" t="s">
        <v>21</v>
      </c>
      <c r="D12" s="33">
        <v>48.86</v>
      </c>
      <c r="E12" s="40" t="s">
        <v>53</v>
      </c>
      <c r="F12" s="33">
        <v>2.35</v>
      </c>
      <c r="G12" s="41" t="s">
        <v>54</v>
      </c>
      <c r="H12" s="71">
        <v>28</v>
      </c>
      <c r="I12" s="71">
        <v>131</v>
      </c>
      <c r="L12">
        <v>0.35</v>
      </c>
      <c r="M12" s="33">
        <v>0.35</v>
      </c>
      <c r="N12" s="1" t="s">
        <v>56</v>
      </c>
      <c r="O12">
        <v>0.13</v>
      </c>
      <c r="P12" t="s">
        <v>56</v>
      </c>
      <c r="Q12" s="44">
        <v>2016</v>
      </c>
      <c r="S12" s="42" t="s">
        <v>20</v>
      </c>
    </row>
    <row r="13" spans="1:20">
      <c r="A13" s="133"/>
      <c r="B13" s="100">
        <v>86</v>
      </c>
      <c r="C13" s="32" t="s">
        <v>24</v>
      </c>
      <c r="D13" s="33">
        <v>46.58</v>
      </c>
      <c r="E13" s="40" t="s">
        <v>53</v>
      </c>
      <c r="F13" s="33">
        <v>0.33611200000000002</v>
      </c>
      <c r="G13" s="41" t="s">
        <v>56</v>
      </c>
      <c r="H13" s="71">
        <v>65</v>
      </c>
      <c r="I13" s="71">
        <v>144</v>
      </c>
      <c r="L13" t="s">
        <v>76</v>
      </c>
      <c r="S13" s="42" t="s">
        <v>20</v>
      </c>
    </row>
    <row r="14" spans="1:20">
      <c r="A14" s="133"/>
      <c r="B14" s="100">
        <v>95</v>
      </c>
      <c r="C14" s="32" t="s">
        <v>27</v>
      </c>
      <c r="D14" s="33">
        <v>49</v>
      </c>
      <c r="E14" s="40" t="s">
        <v>53</v>
      </c>
      <c r="F14" s="33">
        <v>2.5167000000000002</v>
      </c>
      <c r="G14" s="40" t="s">
        <v>56</v>
      </c>
      <c r="H14" s="70">
        <v>100</v>
      </c>
      <c r="I14" s="70">
        <v>116</v>
      </c>
      <c r="J14" s="70"/>
      <c r="K14" s="70"/>
      <c r="L14">
        <v>0.39</v>
      </c>
      <c r="M14" s="33">
        <v>0.36</v>
      </c>
      <c r="N14" s="42" t="s">
        <v>56</v>
      </c>
      <c r="O14">
        <v>0.13</v>
      </c>
      <c r="P14" s="32" t="s">
        <v>56</v>
      </c>
      <c r="Q14" s="45">
        <v>2016</v>
      </c>
      <c r="S14" s="42" t="s">
        <v>20</v>
      </c>
    </row>
    <row r="15" spans="1:20">
      <c r="A15" s="100"/>
      <c r="B15" s="100"/>
      <c r="C15" s="32"/>
      <c r="E15" s="40"/>
      <c r="G15" s="40"/>
      <c r="H15" s="70"/>
      <c r="I15" s="70"/>
      <c r="J15" s="70"/>
      <c r="K15" s="70"/>
      <c r="N15" s="42"/>
      <c r="P15" s="32"/>
      <c r="Q15" s="45"/>
      <c r="S15" s="42"/>
    </row>
    <row r="16" spans="1:20">
      <c r="A16" s="1" t="s">
        <v>48</v>
      </c>
      <c r="C16" s="32" t="s">
        <v>49</v>
      </c>
      <c r="D16" s="33">
        <v>42.3</v>
      </c>
      <c r="F16" s="33">
        <v>9.15</v>
      </c>
      <c r="G16" s="40" t="s">
        <v>54</v>
      </c>
      <c r="H16" s="70"/>
      <c r="I16" s="70"/>
      <c r="J16" s="70"/>
      <c r="L16">
        <v>2.21</v>
      </c>
      <c r="M16" s="33">
        <v>0.33</v>
      </c>
      <c r="N16" s="42" t="s">
        <v>56</v>
      </c>
      <c r="O16">
        <v>0.11</v>
      </c>
      <c r="P16" s="32" t="s">
        <v>56</v>
      </c>
      <c r="Q16" s="45">
        <v>2016</v>
      </c>
      <c r="S16" s="42" t="s">
        <v>20</v>
      </c>
    </row>
    <row r="17" spans="1:19">
      <c r="A17" s="1" t="s">
        <v>50</v>
      </c>
      <c r="B17" s="88">
        <v>971</v>
      </c>
      <c r="C17" s="32" t="s">
        <v>35</v>
      </c>
      <c r="D17" s="33">
        <v>16.239999999999998</v>
      </c>
      <c r="F17" s="33">
        <v>-61.534999999999997</v>
      </c>
      <c r="G17" s="40" t="s">
        <v>54</v>
      </c>
      <c r="H17" s="70"/>
      <c r="I17" s="70"/>
      <c r="J17" s="70"/>
      <c r="K17" s="70"/>
      <c r="L17">
        <v>14.8</v>
      </c>
      <c r="M17" s="33">
        <v>0.31</v>
      </c>
      <c r="N17" s="42" t="s">
        <v>57</v>
      </c>
      <c r="O17">
        <v>0.03</v>
      </c>
      <c r="P17" s="32" t="s">
        <v>57</v>
      </c>
      <c r="Q17" s="45">
        <v>2016</v>
      </c>
      <c r="S17" s="42" t="s">
        <v>179</v>
      </c>
    </row>
    <row r="18" spans="1:19">
      <c r="A18" s="88" t="s">
        <v>176</v>
      </c>
      <c r="B18" s="88">
        <v>972</v>
      </c>
      <c r="C18" s="32" t="s">
        <v>186</v>
      </c>
      <c r="D18" s="33">
        <v>14.603999999999999</v>
      </c>
      <c r="E18" s="40" t="s">
        <v>53</v>
      </c>
      <c r="F18" s="33">
        <v>-61.06955</v>
      </c>
      <c r="G18" s="40" t="s">
        <v>54</v>
      </c>
      <c r="H18" s="70">
        <v>0</v>
      </c>
      <c r="I18" s="70">
        <v>1070</v>
      </c>
      <c r="J18" s="70"/>
      <c r="K18" s="70"/>
      <c r="N18" s="42"/>
      <c r="P18" s="32"/>
      <c r="Q18" s="45"/>
      <c r="S18" s="42" t="s">
        <v>179</v>
      </c>
    </row>
    <row r="19" spans="1:19">
      <c r="A19" s="1" t="s">
        <v>71</v>
      </c>
      <c r="B19" s="88">
        <v>973</v>
      </c>
      <c r="C19" s="32" t="s">
        <v>72</v>
      </c>
      <c r="D19" s="33">
        <v>5.13</v>
      </c>
      <c r="E19" s="41" t="s">
        <v>53</v>
      </c>
      <c r="F19" s="33">
        <v>-52.616999999999997</v>
      </c>
      <c r="G19" s="40" t="s">
        <v>54</v>
      </c>
      <c r="H19" s="70"/>
      <c r="I19" s="70"/>
      <c r="J19" s="70"/>
      <c r="L19">
        <v>18.260000000000002</v>
      </c>
      <c r="M19" s="33">
        <v>0.31</v>
      </c>
      <c r="N19" s="42" t="s">
        <v>57</v>
      </c>
      <c r="O19">
        <v>0.02</v>
      </c>
      <c r="P19" s="32" t="s">
        <v>57</v>
      </c>
      <c r="Q19" s="45">
        <v>2016</v>
      </c>
      <c r="S19" s="42" t="s">
        <v>177</v>
      </c>
    </row>
    <row r="20" spans="1:19">
      <c r="A20" s="88" t="s">
        <v>175</v>
      </c>
      <c r="B20" s="88">
        <v>974</v>
      </c>
      <c r="C20" s="32" t="s">
        <v>202</v>
      </c>
      <c r="G20" s="40"/>
      <c r="H20" s="70"/>
      <c r="I20" s="70"/>
      <c r="J20" s="70"/>
      <c r="N20" s="42"/>
      <c r="P20" s="32"/>
      <c r="Q20" s="45"/>
      <c r="S20" s="42" t="s">
        <v>180</v>
      </c>
    </row>
    <row r="21" spans="1:19">
      <c r="A21" s="42" t="s">
        <v>199</v>
      </c>
      <c r="B21" s="88">
        <v>975</v>
      </c>
      <c r="C21" s="32" t="s">
        <v>190</v>
      </c>
      <c r="G21" s="40"/>
      <c r="H21" s="70"/>
      <c r="I21" s="70"/>
      <c r="J21" s="70"/>
      <c r="N21" s="42"/>
      <c r="P21" s="32"/>
      <c r="Q21" s="45"/>
      <c r="S21" s="42" t="s">
        <v>177</v>
      </c>
    </row>
    <row r="22" spans="1:19">
      <c r="A22" s="88" t="s">
        <v>181</v>
      </c>
      <c r="B22" s="88">
        <v>976</v>
      </c>
      <c r="C22" s="32" t="s">
        <v>193</v>
      </c>
      <c r="G22" s="40"/>
      <c r="H22" s="70"/>
      <c r="I22" s="70"/>
      <c r="J22" s="70"/>
      <c r="N22" s="42"/>
      <c r="P22" s="32"/>
      <c r="Q22" s="45"/>
      <c r="S22" s="42" t="s">
        <v>213</v>
      </c>
    </row>
    <row r="23" spans="1:19">
      <c r="A23" s="42" t="s">
        <v>191</v>
      </c>
      <c r="B23" s="88">
        <v>977</v>
      </c>
      <c r="C23" s="32" t="s">
        <v>192</v>
      </c>
      <c r="G23" s="40"/>
      <c r="H23" s="70"/>
      <c r="I23" s="70"/>
      <c r="J23" s="70"/>
      <c r="N23" s="42"/>
      <c r="P23" s="32"/>
      <c r="Q23" s="45"/>
      <c r="S23" s="42" t="s">
        <v>179</v>
      </c>
    </row>
    <row r="24" spans="1:19">
      <c r="A24" s="42" t="s">
        <v>194</v>
      </c>
      <c r="B24" s="88">
        <v>978</v>
      </c>
      <c r="C24" s="32" t="s">
        <v>195</v>
      </c>
      <c r="G24" s="40"/>
      <c r="H24" s="70"/>
      <c r="I24" s="70"/>
      <c r="J24" s="70"/>
      <c r="N24" s="42"/>
      <c r="P24" s="32"/>
      <c r="Q24" s="45"/>
      <c r="S24" s="42" t="s">
        <v>179</v>
      </c>
    </row>
    <row r="25" spans="1:19">
      <c r="A25" s="1" t="s">
        <v>73</v>
      </c>
      <c r="B25" s="88">
        <v>987</v>
      </c>
      <c r="C25" s="32" t="s">
        <v>182</v>
      </c>
      <c r="D25" s="33">
        <v>-17.5</v>
      </c>
      <c r="E25" s="41" t="s">
        <v>74</v>
      </c>
      <c r="F25" s="33">
        <v>149.5</v>
      </c>
      <c r="G25" s="40" t="s">
        <v>54</v>
      </c>
      <c r="H25" s="70">
        <v>0</v>
      </c>
      <c r="I25" s="70">
        <v>621</v>
      </c>
      <c r="J25" s="70"/>
      <c r="L25">
        <v>12.5</v>
      </c>
      <c r="M25" s="33">
        <v>0.18</v>
      </c>
      <c r="N25" s="42" t="s">
        <v>56</v>
      </c>
      <c r="O25">
        <v>0</v>
      </c>
      <c r="P25" s="32"/>
      <c r="Q25" s="45">
        <v>2016</v>
      </c>
      <c r="S25" s="88" t="s">
        <v>183</v>
      </c>
    </row>
    <row r="26" spans="1:19">
      <c r="A26" s="42" t="s">
        <v>196</v>
      </c>
      <c r="B26" s="88">
        <v>988</v>
      </c>
      <c r="C26" s="32" t="s">
        <v>198</v>
      </c>
      <c r="G26" s="40"/>
      <c r="H26" s="70"/>
      <c r="I26" s="70"/>
      <c r="J26" s="70"/>
      <c r="N26" s="42"/>
      <c r="P26" s="32"/>
      <c r="Q26" s="45"/>
      <c r="S26" s="42" t="s">
        <v>197</v>
      </c>
    </row>
    <row r="28" spans="1:19">
      <c r="A28" s="130" t="s">
        <v>33</v>
      </c>
      <c r="B28" s="98"/>
      <c r="C28" s="32" t="s">
        <v>28</v>
      </c>
      <c r="D28" s="33">
        <v>36.83</v>
      </c>
      <c r="F28" s="33">
        <v>-2.4500000000000002</v>
      </c>
      <c r="G28" s="40" t="s">
        <v>54</v>
      </c>
      <c r="H28" s="70"/>
      <c r="I28" s="70"/>
      <c r="J28" s="70"/>
      <c r="L28">
        <v>0.51</v>
      </c>
      <c r="M28" s="33">
        <v>0.31</v>
      </c>
      <c r="N28" s="42" t="s">
        <v>57</v>
      </c>
      <c r="O28">
        <v>0.11</v>
      </c>
      <c r="P28" s="32" t="s">
        <v>56</v>
      </c>
      <c r="Q28" s="44">
        <v>2016</v>
      </c>
      <c r="S28" s="42" t="s">
        <v>33</v>
      </c>
    </row>
    <row r="29" spans="1:19">
      <c r="A29" s="130"/>
      <c r="B29" s="98"/>
      <c r="C29" s="32" t="s">
        <v>32</v>
      </c>
      <c r="D29" s="33">
        <v>41.41</v>
      </c>
      <c r="L29" t="s">
        <v>76</v>
      </c>
      <c r="S29" s="42" t="s">
        <v>33</v>
      </c>
    </row>
    <row r="30" spans="1:19">
      <c r="A30" s="130"/>
      <c r="B30" s="98"/>
      <c r="C30" s="32" t="s">
        <v>30</v>
      </c>
      <c r="D30" s="33">
        <v>40.299999999999997</v>
      </c>
      <c r="L30" t="s">
        <v>76</v>
      </c>
      <c r="S30" s="42" t="s">
        <v>33</v>
      </c>
    </row>
    <row r="31" spans="1:19">
      <c r="A31" s="130"/>
      <c r="B31" s="98"/>
      <c r="C31" s="34" t="s">
        <v>31</v>
      </c>
      <c r="D31" s="33">
        <v>40.409999999999997</v>
      </c>
      <c r="F31" s="33">
        <v>-3.6829999999999998</v>
      </c>
      <c r="G31" s="40" t="s">
        <v>54</v>
      </c>
      <c r="H31" s="70" t="s">
        <v>76</v>
      </c>
      <c r="I31" s="70" t="s">
        <v>76</v>
      </c>
      <c r="J31" s="71">
        <v>667</v>
      </c>
      <c r="L31">
        <v>0.93</v>
      </c>
      <c r="M31" s="33">
        <v>0.32</v>
      </c>
      <c r="N31" s="42" t="s">
        <v>57</v>
      </c>
      <c r="O31">
        <v>0.12</v>
      </c>
      <c r="P31" s="32" t="s">
        <v>56</v>
      </c>
      <c r="Q31" s="45">
        <v>2016</v>
      </c>
      <c r="S31" s="42" t="s">
        <v>33</v>
      </c>
    </row>
    <row r="32" spans="1:19">
      <c r="A32" s="130"/>
      <c r="B32" s="98"/>
      <c r="C32" s="32" t="s">
        <v>29</v>
      </c>
      <c r="D32" s="33">
        <v>37.4</v>
      </c>
      <c r="L32" t="s">
        <v>76</v>
      </c>
      <c r="S32" s="42" t="s">
        <v>33</v>
      </c>
    </row>
    <row r="33" spans="1:19">
      <c r="A33" s="79"/>
      <c r="B33" s="98"/>
      <c r="C33" s="32"/>
      <c r="N33" s="80"/>
    </row>
    <row r="34" spans="1:19">
      <c r="A34" s="130" t="s">
        <v>126</v>
      </c>
      <c r="B34" s="98"/>
      <c r="C34" s="34" t="s">
        <v>125</v>
      </c>
      <c r="D34" s="33">
        <v>39.56</v>
      </c>
      <c r="E34" s="41" t="s">
        <v>53</v>
      </c>
      <c r="F34" s="33">
        <v>2.65</v>
      </c>
      <c r="G34" s="41" t="s">
        <v>56</v>
      </c>
      <c r="J34" s="71">
        <v>13</v>
      </c>
      <c r="L34" s="32" t="s">
        <v>76</v>
      </c>
      <c r="N34" s="81"/>
    </row>
    <row r="35" spans="1:19">
      <c r="A35" s="130"/>
      <c r="B35" s="98"/>
      <c r="C35" s="32" t="s">
        <v>127</v>
      </c>
      <c r="D35" s="33">
        <v>39.807780000000001</v>
      </c>
      <c r="E35" s="40" t="s">
        <v>53</v>
      </c>
      <c r="F35" s="33">
        <v>2.7936100000000001</v>
      </c>
      <c r="G35" s="40" t="s">
        <v>56</v>
      </c>
      <c r="I35" s="71">
        <v>1445</v>
      </c>
      <c r="L35" s="32" t="s">
        <v>76</v>
      </c>
      <c r="N35" s="81"/>
    </row>
    <row r="37" spans="1:19">
      <c r="A37" s="42" t="s">
        <v>128</v>
      </c>
      <c r="B37" s="42"/>
      <c r="C37" s="34" t="s">
        <v>129</v>
      </c>
      <c r="D37" s="33">
        <v>-34.608051000000003</v>
      </c>
      <c r="E37" s="40" t="s">
        <v>74</v>
      </c>
      <c r="F37" s="33">
        <v>-58.370255999999998</v>
      </c>
      <c r="G37" s="40" t="s">
        <v>54</v>
      </c>
      <c r="J37" s="71">
        <v>20</v>
      </c>
      <c r="L37" s="32" t="s">
        <v>76</v>
      </c>
      <c r="N37" s="81"/>
      <c r="S37" s="42" t="s">
        <v>177</v>
      </c>
    </row>
    <row r="38" spans="1:19">
      <c r="A38" s="81"/>
      <c r="N38" s="81"/>
    </row>
    <row r="39" spans="1:19">
      <c r="C39" t="s">
        <v>225</v>
      </c>
      <c r="D39" s="33">
        <v>90</v>
      </c>
      <c r="E39" s="41" t="s">
        <v>53</v>
      </c>
      <c r="F39" s="33" t="s">
        <v>163</v>
      </c>
      <c r="L39">
        <v>4.3499999999999996</v>
      </c>
      <c r="M39" s="33">
        <v>2.86</v>
      </c>
      <c r="N39" s="1" t="s">
        <v>57</v>
      </c>
      <c r="O39">
        <v>1.57</v>
      </c>
      <c r="P39" t="s">
        <v>56</v>
      </c>
      <c r="Q39" s="44">
        <v>2016</v>
      </c>
      <c r="S39" s="88" t="s">
        <v>166</v>
      </c>
    </row>
    <row r="40" spans="1:19">
      <c r="C40" s="32" t="s">
        <v>64</v>
      </c>
      <c r="D40" s="33">
        <v>0</v>
      </c>
      <c r="F40" s="33" t="s">
        <v>76</v>
      </c>
      <c r="L40" t="s">
        <v>76</v>
      </c>
      <c r="S40" s="42" t="s">
        <v>76</v>
      </c>
    </row>
    <row r="41" spans="1:19">
      <c r="C41" s="32" t="s">
        <v>68</v>
      </c>
      <c r="D41" s="37">
        <v>23.43</v>
      </c>
      <c r="E41" s="41" t="s">
        <v>53</v>
      </c>
      <c r="F41" s="33" t="s">
        <v>76</v>
      </c>
      <c r="L41" t="s">
        <v>76</v>
      </c>
      <c r="S41" s="42" t="s">
        <v>76</v>
      </c>
    </row>
    <row r="42" spans="1:19">
      <c r="C42" s="32" t="s">
        <v>187</v>
      </c>
      <c r="D42" s="37">
        <v>66.562780000000004</v>
      </c>
      <c r="F42" s="37" t="s">
        <v>76</v>
      </c>
      <c r="S42" s="42" t="s">
        <v>76</v>
      </c>
    </row>
    <row r="44" spans="1:19">
      <c r="A44" s="42" t="s">
        <v>62</v>
      </c>
      <c r="B44" s="42"/>
      <c r="C44" s="32" t="s">
        <v>61</v>
      </c>
      <c r="D44" s="33">
        <v>45.5</v>
      </c>
      <c r="E44" s="40" t="s">
        <v>53</v>
      </c>
      <c r="F44" s="33">
        <v>-73.55</v>
      </c>
      <c r="G44" s="40" t="s">
        <v>54</v>
      </c>
      <c r="H44" s="70"/>
      <c r="I44" s="70"/>
      <c r="J44" s="70"/>
      <c r="L44">
        <v>14.55</v>
      </c>
      <c r="M44" s="33">
        <v>0.38</v>
      </c>
      <c r="N44" s="42" t="s">
        <v>57</v>
      </c>
      <c r="O44">
        <v>7.0000000000000007E-2</v>
      </c>
      <c r="P44" s="32" t="s">
        <v>56</v>
      </c>
      <c r="Q44" s="45">
        <v>2016</v>
      </c>
      <c r="S44" s="42" t="s">
        <v>76</v>
      </c>
    </row>
  </sheetData>
  <mergeCells count="7">
    <mergeCell ref="A34:A35"/>
    <mergeCell ref="D1:E1"/>
    <mergeCell ref="F1:G1"/>
    <mergeCell ref="L1:Q1"/>
    <mergeCell ref="A3:A14"/>
    <mergeCell ref="A28:A32"/>
    <mergeCell ref="H1:J1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15"/>
  <sheetViews>
    <sheetView workbookViewId="0">
      <selection activeCell="E6" sqref="E6"/>
    </sheetView>
  </sheetViews>
  <sheetFormatPr baseColWidth="10" defaultRowHeight="13.2"/>
  <cols>
    <col min="1" max="1" width="18.88671875" bestFit="1" customWidth="1"/>
    <col min="3" max="3" width="4" bestFit="1" customWidth="1"/>
    <col min="4" max="4" width="4" customWidth="1"/>
    <col min="5" max="5" width="12.33203125" bestFit="1" customWidth="1"/>
  </cols>
  <sheetData>
    <row r="1" spans="1:5">
      <c r="A1" t="s">
        <v>36</v>
      </c>
    </row>
    <row r="3" spans="1:5">
      <c r="A3" s="34" t="s">
        <v>63</v>
      </c>
      <c r="B3" s="37">
        <v>23.1</v>
      </c>
      <c r="C3" s="32" t="s">
        <v>46</v>
      </c>
      <c r="D3" s="32"/>
    </row>
    <row r="4" spans="1:5">
      <c r="A4" s="32" t="s">
        <v>47</v>
      </c>
      <c r="B4" s="37">
        <v>23.43</v>
      </c>
      <c r="C4" s="32" t="s">
        <v>46</v>
      </c>
      <c r="D4" s="32" t="s">
        <v>38</v>
      </c>
      <c r="E4" s="35">
        <v>42370</v>
      </c>
    </row>
    <row r="5" spans="1:5">
      <c r="A5" s="32" t="s">
        <v>37</v>
      </c>
      <c r="B5" s="38">
        <v>23.1</v>
      </c>
      <c r="C5" s="32" t="s">
        <v>46</v>
      </c>
      <c r="D5" s="32"/>
      <c r="E5" s="35"/>
    </row>
    <row r="6" spans="1:5">
      <c r="A6" s="32" t="s">
        <v>40</v>
      </c>
      <c r="B6" s="38">
        <v>21.8</v>
      </c>
      <c r="C6" s="32" t="s">
        <v>46</v>
      </c>
    </row>
    <row r="7" spans="1:5">
      <c r="A7" s="32" t="s">
        <v>41</v>
      </c>
      <c r="B7" s="39">
        <v>24.4</v>
      </c>
      <c r="C7" s="32" t="s">
        <v>46</v>
      </c>
    </row>
    <row r="9" spans="1:5">
      <c r="A9" s="32" t="s">
        <v>42</v>
      </c>
    </row>
    <row r="10" spans="1:5">
      <c r="A10" s="32" t="s">
        <v>45</v>
      </c>
      <c r="B10" s="36">
        <v>41000</v>
      </c>
      <c r="C10" s="32" t="s">
        <v>44</v>
      </c>
      <c r="D10" s="32"/>
    </row>
    <row r="11" spans="1:5">
      <c r="A11" s="32"/>
      <c r="B11" s="36"/>
      <c r="C11" s="32"/>
      <c r="D11" s="32"/>
    </row>
    <row r="13" spans="1:5">
      <c r="A13" s="32" t="s">
        <v>39</v>
      </c>
    </row>
    <row r="14" spans="1:5">
      <c r="A14" s="32" t="s">
        <v>45</v>
      </c>
      <c r="B14">
        <v>18.600000000000001</v>
      </c>
      <c r="C14" s="32" t="s">
        <v>44</v>
      </c>
      <c r="D14" s="32"/>
    </row>
    <row r="15" spans="1:5">
      <c r="A15" s="32" t="s">
        <v>43</v>
      </c>
      <c r="B15">
        <v>2.5999999999999999E-3</v>
      </c>
      <c r="C15" s="32" t="s">
        <v>46</v>
      </c>
      <c r="D15" s="32" t="s">
        <v>38</v>
      </c>
      <c r="E15" s="35">
        <v>42005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F26"/>
  <sheetViews>
    <sheetView workbookViewId="0">
      <selection activeCell="H21" sqref="H21"/>
    </sheetView>
  </sheetViews>
  <sheetFormatPr baseColWidth="10" defaultRowHeight="13.2"/>
  <cols>
    <col min="1" max="1" width="26.33203125" bestFit="1" customWidth="1"/>
    <col min="2" max="2" width="9.6640625" bestFit="1" customWidth="1"/>
    <col min="3" max="3" width="7.5546875" bestFit="1" customWidth="1"/>
    <col min="4" max="4" width="3.77734375" bestFit="1" customWidth="1"/>
    <col min="5" max="5" width="10.21875" bestFit="1" customWidth="1"/>
  </cols>
  <sheetData>
    <row r="1" spans="1:6">
      <c r="A1" s="68" t="s">
        <v>137</v>
      </c>
      <c r="B1" s="76"/>
    </row>
    <row r="2" spans="1:6">
      <c r="A2" s="32" t="s">
        <v>149</v>
      </c>
      <c r="B2" s="135" t="str">
        <f>IF(Ville_ref="", "inconnue", Ville_ref)</f>
        <v>Cercle Arctique</v>
      </c>
      <c r="C2" s="135"/>
      <c r="D2" s="135"/>
    </row>
    <row r="3" spans="1:6">
      <c r="A3" s="32" t="s">
        <v>148</v>
      </c>
      <c r="B3" s="135" t="str">
        <f>IF(B2="inconnue","?",VLOOKUP(B2,'Villes-Géo'!C:S,17,FALSE))</f>
        <v>?</v>
      </c>
      <c r="C3" s="135"/>
      <c r="D3" s="135"/>
    </row>
    <row r="4" spans="1:6">
      <c r="A4" s="32" t="s">
        <v>115</v>
      </c>
      <c r="B4" s="33" t="str">
        <f>Longitude</f>
        <v>?</v>
      </c>
      <c r="C4" s="32" t="s">
        <v>46</v>
      </c>
    </row>
    <row r="5" spans="1:6">
      <c r="A5" s="32"/>
      <c r="B5" s="33"/>
      <c r="C5" s="32"/>
    </row>
    <row r="6" spans="1:6">
      <c r="A6" s="68" t="s">
        <v>146</v>
      </c>
      <c r="B6" s="33"/>
      <c r="C6" s="32"/>
    </row>
    <row r="7" spans="1:6">
      <c r="A7" s="96" t="s">
        <v>144</v>
      </c>
      <c r="B7" s="97" t="str">
        <f>VLOOKUP(B3,'heures légales'!A:E,4,FALSE)</f>
        <v>?</v>
      </c>
      <c r="C7" s="32"/>
    </row>
    <row r="8" spans="1:6">
      <c r="A8" s="96" t="s">
        <v>145</v>
      </c>
      <c r="B8" s="97" t="str">
        <f>VLOOKUP(B3,'heures légales'!A:E,5,FALSE)</f>
        <v>?</v>
      </c>
      <c r="C8" s="32"/>
    </row>
    <row r="9" spans="1:6">
      <c r="A9" s="32"/>
      <c r="B9" s="33"/>
    </row>
    <row r="10" spans="1:6">
      <c r="A10" s="76" t="s">
        <v>136</v>
      </c>
      <c r="B10" s="33"/>
    </row>
    <row r="11" spans="1:6">
      <c r="A11" s="75" t="s">
        <v>147</v>
      </c>
      <c r="B11" s="33" t="str">
        <f>IF(B4="?","?",IF(B4="SO","SO",B4*4))</f>
        <v>?</v>
      </c>
      <c r="C11" s="32" t="s">
        <v>117</v>
      </c>
      <c r="D11" s="32" t="s">
        <v>116</v>
      </c>
      <c r="E11" s="77" t="str">
        <f>IF(B4="?","?",ABS(B11/(24*60)))</f>
        <v>?</v>
      </c>
      <c r="F11" s="32" t="s">
        <v>78</v>
      </c>
    </row>
    <row r="12" spans="1:6">
      <c r="A12" s="32" t="s">
        <v>151</v>
      </c>
      <c r="B12" s="33" t="str">
        <f>IF(B7="?","?",IF(B7="SO","SO",B7*60-eq_tps_L))</f>
        <v>?</v>
      </c>
      <c r="C12" s="32" t="s">
        <v>117</v>
      </c>
      <c r="D12" s="32" t="s">
        <v>116</v>
      </c>
      <c r="E12" s="77" t="str">
        <f>IF(B7="?","?",ABS(B12/(24*60)))</f>
        <v>?</v>
      </c>
      <c r="F12" s="32" t="s">
        <v>78</v>
      </c>
    </row>
    <row r="13" spans="1:6">
      <c r="A13" s="32" t="s">
        <v>150</v>
      </c>
      <c r="B13" s="33" t="str">
        <f>IF(B8="?","?",IF(B8="SO","SO",B8*60-eq_tps_L))</f>
        <v>?</v>
      </c>
      <c r="C13" s="32" t="s">
        <v>117</v>
      </c>
      <c r="D13" s="32" t="s">
        <v>116</v>
      </c>
      <c r="E13" s="77" t="str">
        <f>IF(B8="?","?",ABS(B13/(24*60)))</f>
        <v>?</v>
      </c>
      <c r="F13" s="32" t="s">
        <v>78</v>
      </c>
    </row>
    <row r="15" spans="1:6">
      <c r="A15" s="68" t="s">
        <v>156</v>
      </c>
      <c r="B15" t="str">
        <f>VLOOKUP(B3,'heures légales'!A:I,9,FALSE)</f>
        <v>?</v>
      </c>
      <c r="E15" s="109" t="str">
        <f>IF(B15="?","?",DATE(B15,1,1))</f>
        <v>?</v>
      </c>
    </row>
    <row r="16" spans="1:6">
      <c r="A16" s="68"/>
      <c r="E16" s="109"/>
    </row>
    <row r="17" spans="1:6">
      <c r="A17" s="32" t="s">
        <v>154</v>
      </c>
      <c r="B17" s="102" t="str">
        <f>VLOOKUP(B3,'heures légales'!A:I,7,FALSE)</f>
        <v>?</v>
      </c>
      <c r="C17" s="96" t="s">
        <v>159</v>
      </c>
      <c r="D17" t="str">
        <f>IF(B17="?","?",DAYS360(E15,B17,1))</f>
        <v>?</v>
      </c>
      <c r="E17" s="136" t="s">
        <v>158</v>
      </c>
      <c r="F17" s="136"/>
    </row>
    <row r="18" spans="1:6">
      <c r="A18" s="32" t="s">
        <v>155</v>
      </c>
      <c r="B18" s="102" t="str">
        <f>VLOOKUP(B3,'heures légales'!A:I,8,FALSE)</f>
        <v>?</v>
      </c>
      <c r="C18" s="96" t="s">
        <v>159</v>
      </c>
      <c r="D18" t="str">
        <f>IF(B18="?","?",DAYS360(E15,B18,1))</f>
        <v>?</v>
      </c>
      <c r="E18" s="136" t="s">
        <v>158</v>
      </c>
      <c r="F18" s="136"/>
    </row>
    <row r="26" spans="1:6">
      <c r="A26" s="32" t="s">
        <v>160</v>
      </c>
      <c r="B26" t="str">
        <f>IF(OR(B3="?",B7="?",B8="?",B17="?",B18="?",B15="?"),"?",IF(B7="SO","SO","Ok"))</f>
        <v>?</v>
      </c>
    </row>
  </sheetData>
  <mergeCells count="4">
    <mergeCell ref="B2:D2"/>
    <mergeCell ref="B3:D3"/>
    <mergeCell ref="E17:F17"/>
    <mergeCell ref="E18:F18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9"/>
  <sheetViews>
    <sheetView workbookViewId="0">
      <selection activeCell="J15" sqref="J15"/>
    </sheetView>
  </sheetViews>
  <sheetFormatPr baseColWidth="10" defaultRowHeight="13.2"/>
  <cols>
    <col min="1" max="1" width="11.33203125" style="101" bestFit="1" customWidth="1"/>
    <col min="2" max="2" width="3.33203125" style="88" bestFit="1" customWidth="1"/>
    <col min="3" max="3" width="9.109375" style="110" bestFit="1" customWidth="1"/>
    <col min="4" max="4" width="7.6640625" style="71" bestFit="1" customWidth="1"/>
    <col min="5" max="5" width="7" style="88" bestFit="1" customWidth="1"/>
    <col min="6" max="6" width="4.33203125" style="88" bestFit="1" customWidth="1"/>
    <col min="7" max="7" width="7.6640625" style="105" bestFit="1" customWidth="1"/>
    <col min="8" max="8" width="7" style="105" bestFit="1" customWidth="1"/>
    <col min="9" max="9" width="6.21875" style="88" bestFit="1" customWidth="1"/>
    <col min="10" max="16384" width="11.5546875" style="88"/>
  </cols>
  <sheetData>
    <row r="1" spans="1:9" s="89" customFormat="1">
      <c r="A1" s="111"/>
      <c r="B1" s="132" t="s">
        <v>168</v>
      </c>
      <c r="C1" s="132"/>
      <c r="D1" s="132" t="s">
        <v>131</v>
      </c>
      <c r="E1" s="132"/>
      <c r="F1" s="132" t="s">
        <v>153</v>
      </c>
      <c r="G1" s="132"/>
      <c r="H1" s="132"/>
      <c r="I1" s="132"/>
    </row>
    <row r="2" spans="1:9" s="89" customFormat="1">
      <c r="A2" s="111" t="s">
        <v>51</v>
      </c>
      <c r="B2" s="99"/>
      <c r="C2" s="99" t="s">
        <v>173</v>
      </c>
      <c r="D2" s="90" t="s">
        <v>132</v>
      </c>
      <c r="E2" s="89" t="s">
        <v>133</v>
      </c>
      <c r="F2" s="89" t="s">
        <v>161</v>
      </c>
      <c r="G2" s="103" t="s">
        <v>132</v>
      </c>
      <c r="H2" s="103" t="s">
        <v>133</v>
      </c>
      <c r="I2" s="89" t="s">
        <v>152</v>
      </c>
    </row>
    <row r="3" spans="1:9" s="99" customFormat="1">
      <c r="A3" s="112" t="s">
        <v>166</v>
      </c>
      <c r="B3" s="42"/>
      <c r="C3" s="75"/>
      <c r="D3" s="108" t="s">
        <v>163</v>
      </c>
      <c r="E3" s="42" t="s">
        <v>163</v>
      </c>
      <c r="F3" s="42"/>
      <c r="G3" s="104"/>
      <c r="H3" s="104"/>
      <c r="I3" s="42">
        <v>2017</v>
      </c>
    </row>
    <row r="4" spans="1:9" s="42" customFormat="1">
      <c r="A4" s="112" t="s">
        <v>76</v>
      </c>
      <c r="C4" s="75"/>
      <c r="D4" s="108" t="s">
        <v>76</v>
      </c>
      <c r="E4" s="42" t="s">
        <v>76</v>
      </c>
      <c r="G4" s="104" t="s">
        <v>76</v>
      </c>
      <c r="H4" s="104" t="s">
        <v>76</v>
      </c>
      <c r="I4" s="42" t="s">
        <v>76</v>
      </c>
    </row>
    <row r="5" spans="1:9" s="42" customFormat="1">
      <c r="A5" s="112"/>
      <c r="C5" s="75"/>
    </row>
    <row r="6" spans="1:9" s="42" customFormat="1">
      <c r="A6" s="114" t="s">
        <v>205</v>
      </c>
      <c r="B6" s="42" t="s">
        <v>206</v>
      </c>
      <c r="C6" s="75"/>
      <c r="D6" s="42">
        <v>-11</v>
      </c>
      <c r="E6" s="42">
        <v>-11</v>
      </c>
      <c r="F6" s="42" t="s">
        <v>53</v>
      </c>
    </row>
    <row r="7" spans="1:9" s="42" customFormat="1">
      <c r="A7" s="114" t="s">
        <v>183</v>
      </c>
      <c r="B7" s="42" t="s">
        <v>57</v>
      </c>
      <c r="C7" s="75"/>
      <c r="D7" s="42">
        <v>-10</v>
      </c>
      <c r="E7" s="42">
        <v>-10</v>
      </c>
      <c r="F7" s="42" t="s">
        <v>53</v>
      </c>
    </row>
    <row r="8" spans="1:9" s="42" customFormat="1">
      <c r="A8" s="114" t="s">
        <v>207</v>
      </c>
      <c r="B8" s="42" t="s">
        <v>212</v>
      </c>
      <c r="C8" s="88" t="s">
        <v>210</v>
      </c>
      <c r="D8" s="42">
        <v>-9.5</v>
      </c>
      <c r="E8" s="42">
        <v>-9.5</v>
      </c>
      <c r="F8" s="42" t="s">
        <v>53</v>
      </c>
    </row>
    <row r="9" spans="1:9" s="42" customFormat="1">
      <c r="A9" s="114" t="s">
        <v>208</v>
      </c>
      <c r="B9" s="42" t="s">
        <v>209</v>
      </c>
      <c r="C9" s="75"/>
      <c r="D9" s="42">
        <v>-9</v>
      </c>
      <c r="E9" s="42">
        <v>-9</v>
      </c>
      <c r="F9" s="42" t="s">
        <v>53</v>
      </c>
    </row>
    <row r="10" spans="1:9" s="42" customFormat="1">
      <c r="A10" s="112" t="s">
        <v>179</v>
      </c>
      <c r="B10" s="42" t="s">
        <v>200</v>
      </c>
      <c r="C10" s="75" t="s">
        <v>134</v>
      </c>
      <c r="D10" s="70">
        <v>-4</v>
      </c>
      <c r="E10" s="42">
        <v>-4</v>
      </c>
      <c r="F10" s="42" t="s">
        <v>53</v>
      </c>
      <c r="G10" s="104"/>
      <c r="H10" s="104"/>
    </row>
    <row r="11" spans="1:9" s="42" customFormat="1">
      <c r="A11" s="112" t="s">
        <v>177</v>
      </c>
      <c r="B11" s="42" t="s">
        <v>172</v>
      </c>
      <c r="C11" s="75" t="s">
        <v>178</v>
      </c>
      <c r="D11" s="70">
        <v>-3</v>
      </c>
      <c r="E11" s="42">
        <v>-3</v>
      </c>
      <c r="F11" s="42" t="s">
        <v>53</v>
      </c>
      <c r="G11" s="104"/>
      <c r="H11" s="104"/>
    </row>
    <row r="12" spans="1:9">
      <c r="A12" s="112" t="s">
        <v>20</v>
      </c>
      <c r="B12" s="42" t="s">
        <v>167</v>
      </c>
      <c r="C12" s="75" t="s">
        <v>21</v>
      </c>
      <c r="D12" s="71">
        <v>1</v>
      </c>
      <c r="E12" s="88">
        <v>2</v>
      </c>
      <c r="F12" s="42" t="s">
        <v>54</v>
      </c>
      <c r="G12" s="105">
        <f>G15</f>
        <v>42456</v>
      </c>
      <c r="H12" s="78">
        <f>H15</f>
        <v>42673</v>
      </c>
      <c r="I12" s="88">
        <f>I15</f>
        <v>2016</v>
      </c>
    </row>
    <row r="13" spans="1:9">
      <c r="A13" s="112" t="s">
        <v>33</v>
      </c>
      <c r="B13" s="42" t="s">
        <v>167</v>
      </c>
      <c r="C13" s="75" t="s">
        <v>31</v>
      </c>
      <c r="D13" s="71">
        <v>1</v>
      </c>
      <c r="E13" s="88">
        <v>2</v>
      </c>
      <c r="F13" s="42" t="s">
        <v>54</v>
      </c>
      <c r="G13" s="105">
        <f>G15</f>
        <v>42456</v>
      </c>
      <c r="H13" s="78">
        <f>H15</f>
        <v>42673</v>
      </c>
      <c r="I13" s="88">
        <f>I15</f>
        <v>2016</v>
      </c>
    </row>
    <row r="14" spans="1:9">
      <c r="A14" s="112" t="s">
        <v>171</v>
      </c>
      <c r="B14" s="42"/>
      <c r="C14" s="75" t="s">
        <v>201</v>
      </c>
      <c r="D14" s="71">
        <v>0</v>
      </c>
      <c r="E14" s="88">
        <v>1</v>
      </c>
      <c r="F14" s="42" t="s">
        <v>54</v>
      </c>
    </row>
    <row r="15" spans="1:9">
      <c r="A15" s="101" t="s">
        <v>169</v>
      </c>
      <c r="B15" s="88" t="s">
        <v>167</v>
      </c>
      <c r="D15" s="71">
        <v>1</v>
      </c>
      <c r="E15" s="88">
        <v>2</v>
      </c>
      <c r="F15" s="88" t="s">
        <v>54</v>
      </c>
      <c r="G15" s="102">
        <v>42456</v>
      </c>
      <c r="H15" s="78">
        <v>42673</v>
      </c>
      <c r="I15" s="88">
        <v>2016</v>
      </c>
    </row>
    <row r="16" spans="1:9">
      <c r="A16" s="101" t="s">
        <v>170</v>
      </c>
      <c r="D16" s="70">
        <v>2</v>
      </c>
      <c r="E16" s="88">
        <v>3</v>
      </c>
      <c r="F16" s="88" t="s">
        <v>54</v>
      </c>
    </row>
    <row r="17" spans="1:10">
      <c r="A17" s="113" t="s">
        <v>216</v>
      </c>
      <c r="B17" s="88" t="s">
        <v>112</v>
      </c>
      <c r="D17" s="70">
        <v>2</v>
      </c>
      <c r="E17" s="88">
        <v>2</v>
      </c>
      <c r="F17" s="88" t="s">
        <v>53</v>
      </c>
    </row>
    <row r="18" spans="1:10">
      <c r="A18" s="101" t="s">
        <v>213</v>
      </c>
      <c r="B18" s="88" t="s">
        <v>215</v>
      </c>
      <c r="C18" s="110" t="s">
        <v>174</v>
      </c>
      <c r="D18" s="71">
        <v>3</v>
      </c>
      <c r="E18" s="88">
        <v>3</v>
      </c>
      <c r="F18" s="88" t="s">
        <v>53</v>
      </c>
    </row>
    <row r="19" spans="1:10">
      <c r="A19" s="101" t="s">
        <v>197</v>
      </c>
      <c r="B19" s="88" t="s">
        <v>214</v>
      </c>
      <c r="D19" s="71">
        <v>11</v>
      </c>
      <c r="E19" s="88">
        <v>11</v>
      </c>
      <c r="F19" s="88" t="s">
        <v>53</v>
      </c>
      <c r="J19" s="88" t="s">
        <v>211</v>
      </c>
    </row>
  </sheetData>
  <mergeCells count="3">
    <mergeCell ref="B1:C1"/>
    <mergeCell ref="D1:E1"/>
    <mergeCell ref="F1:I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22"/>
  <sheetViews>
    <sheetView workbookViewId="0">
      <selection activeCell="I8" sqref="I8"/>
    </sheetView>
  </sheetViews>
  <sheetFormatPr baseColWidth="10" defaultRowHeight="13.2"/>
  <cols>
    <col min="1" max="1" width="37.44140625" bestFit="1" customWidth="1"/>
    <col min="2" max="2" width="12" bestFit="1" customWidth="1"/>
    <col min="3" max="3" width="5.33203125" bestFit="1" customWidth="1"/>
    <col min="4" max="4" width="6.33203125" bestFit="1" customWidth="1"/>
    <col min="5" max="5" width="12" bestFit="1" customWidth="1"/>
    <col min="6" max="6" width="10.77734375" bestFit="1" customWidth="1"/>
    <col min="7" max="7" width="4" bestFit="1" customWidth="1"/>
  </cols>
  <sheetData>
    <row r="1" spans="1:8">
      <c r="A1" s="68" t="s">
        <v>92</v>
      </c>
    </row>
    <row r="3" spans="1:8">
      <c r="A3" t="s">
        <v>219</v>
      </c>
      <c r="B3">
        <v>365.25636305099999</v>
      </c>
      <c r="C3" t="s">
        <v>220</v>
      </c>
      <c r="D3" s="88" t="s">
        <v>116</v>
      </c>
      <c r="E3" s="119">
        <f>jours_annee_siderale-G3</f>
        <v>0.2563630509999939</v>
      </c>
      <c r="F3" s="32" t="s">
        <v>222</v>
      </c>
      <c r="G3">
        <f>TRUNC(jours_annee_siderale,0)</f>
        <v>365</v>
      </c>
      <c r="H3" s="32" t="s">
        <v>220</v>
      </c>
    </row>
    <row r="4" spans="1:8">
      <c r="A4" s="32" t="s">
        <v>94</v>
      </c>
      <c r="B4">
        <f>360/jours_annee_siderale</f>
        <v>0.98560911298822174</v>
      </c>
      <c r="C4" s="32" t="s">
        <v>81</v>
      </c>
      <c r="D4" s="42" t="s">
        <v>103</v>
      </c>
      <c r="E4">
        <f>RADIANS(Va)</f>
        <v>1.7202124159305276E-2</v>
      </c>
      <c r="F4" s="32" t="s">
        <v>82</v>
      </c>
    </row>
    <row r="5" spans="1:8">
      <c r="A5" s="32" t="s">
        <v>95</v>
      </c>
      <c r="B5">
        <v>6378</v>
      </c>
      <c r="C5" s="32" t="s">
        <v>93</v>
      </c>
      <c r="D5" s="32"/>
    </row>
    <row r="6" spans="1:8">
      <c r="A6" s="32" t="s">
        <v>96</v>
      </c>
      <c r="B6">
        <v>6356</v>
      </c>
      <c r="C6" s="32" t="s">
        <v>93</v>
      </c>
      <c r="D6" s="130" t="s">
        <v>104</v>
      </c>
      <c r="E6" s="137">
        <f>B5/B7</f>
        <v>708.66666666666663</v>
      </c>
    </row>
    <row r="7" spans="1:8">
      <c r="A7" s="32" t="s">
        <v>100</v>
      </c>
      <c r="B7">
        <v>9</v>
      </c>
      <c r="C7" s="32" t="s">
        <v>93</v>
      </c>
      <c r="D7" s="130"/>
      <c r="E7" s="137"/>
    </row>
    <row r="8" spans="1:8">
      <c r="E8" s="72"/>
    </row>
    <row r="10" spans="1:8">
      <c r="A10" s="32"/>
      <c r="B10" s="32"/>
      <c r="E10" s="32"/>
    </row>
    <row r="11" spans="1:8">
      <c r="A11" s="32"/>
    </row>
    <row r="12" spans="1:8">
      <c r="A12" s="32"/>
    </row>
    <row r="13" spans="1:8">
      <c r="A13" s="32"/>
    </row>
    <row r="14" spans="1:8">
      <c r="A14" s="32"/>
    </row>
    <row r="15" spans="1:8">
      <c r="A15" s="32"/>
    </row>
    <row r="16" spans="1:8">
      <c r="A16" s="32"/>
    </row>
    <row r="17" spans="1:1">
      <c r="A17" s="32"/>
    </row>
    <row r="18" spans="1:1">
      <c r="A18" s="32"/>
    </row>
    <row r="19" spans="1:1">
      <c r="A19" s="32"/>
    </row>
    <row r="20" spans="1:1">
      <c r="A20" s="32"/>
    </row>
    <row r="21" spans="1:1">
      <c r="A21" s="32"/>
    </row>
    <row r="22" spans="1:1">
      <c r="A22" s="32"/>
    </row>
  </sheetData>
  <mergeCells count="2">
    <mergeCell ref="D6:D7"/>
    <mergeCell ref="E6:E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24"/>
  <sheetViews>
    <sheetView tabSelected="1" workbookViewId="0">
      <selection activeCell="C25" sqref="C25"/>
    </sheetView>
  </sheetViews>
  <sheetFormatPr baseColWidth="10" defaultRowHeight="13.2"/>
  <cols>
    <col min="1" max="1" width="8.6640625" bestFit="1" customWidth="1"/>
    <col min="2" max="2" width="8.109375" style="115" bestFit="1" customWidth="1"/>
    <col min="3" max="3" width="104.21875" bestFit="1" customWidth="1"/>
  </cols>
  <sheetData>
    <row r="1" spans="1:3">
      <c r="A1" s="135" t="s">
        <v>203</v>
      </c>
      <c r="B1" s="135"/>
      <c r="C1" s="135"/>
    </row>
    <row r="2" spans="1:3">
      <c r="A2" s="138" t="s">
        <v>204</v>
      </c>
      <c r="B2" s="138"/>
      <c r="C2" s="138"/>
    </row>
    <row r="3" spans="1:3">
      <c r="A3" s="118"/>
      <c r="B3" s="118"/>
      <c r="C3" s="118"/>
    </row>
    <row r="4" spans="1:3" s="34" customFormat="1">
      <c r="A4" s="34" t="s">
        <v>83</v>
      </c>
      <c r="B4" s="116" t="s">
        <v>89</v>
      </c>
    </row>
    <row r="5" spans="1:3">
      <c r="A5" s="32"/>
      <c r="B5" s="117"/>
    </row>
    <row r="6" spans="1:3">
      <c r="A6" s="32" t="s">
        <v>84</v>
      </c>
      <c r="B6" s="117"/>
      <c r="C6" s="32" t="s">
        <v>185</v>
      </c>
    </row>
    <row r="7" spans="1:3">
      <c r="A7" s="32" t="s">
        <v>85</v>
      </c>
      <c r="B7" s="117"/>
      <c r="C7" s="32" t="s">
        <v>86</v>
      </c>
    </row>
    <row r="8" spans="1:3">
      <c r="A8" s="32" t="s">
        <v>87</v>
      </c>
      <c r="B8" s="117"/>
      <c r="C8" s="32" t="s">
        <v>88</v>
      </c>
    </row>
    <row r="9" spans="1:3">
      <c r="A9" s="32" t="s">
        <v>91</v>
      </c>
      <c r="B9" s="117"/>
      <c r="C9" t="s">
        <v>99</v>
      </c>
    </row>
    <row r="10" spans="1:3">
      <c r="A10" s="32" t="s">
        <v>101</v>
      </c>
      <c r="B10" s="117"/>
      <c r="C10" t="s">
        <v>102</v>
      </c>
    </row>
    <row r="11" spans="1:3">
      <c r="A11" s="32" t="s">
        <v>113</v>
      </c>
      <c r="B11" s="117"/>
      <c r="C11" s="32" t="s">
        <v>114</v>
      </c>
    </row>
    <row r="12" spans="1:3">
      <c r="A12" s="32" t="s">
        <v>122</v>
      </c>
      <c r="B12" s="117"/>
      <c r="C12" s="32" t="s">
        <v>123</v>
      </c>
    </row>
    <row r="13" spans="1:3">
      <c r="A13" s="32" t="s">
        <v>130</v>
      </c>
      <c r="B13" s="115">
        <v>42832</v>
      </c>
      <c r="C13" s="32" t="s">
        <v>138</v>
      </c>
    </row>
    <row r="14" spans="1:3">
      <c r="A14" s="32" t="s">
        <v>139</v>
      </c>
      <c r="C14" s="91" t="s">
        <v>140</v>
      </c>
    </row>
    <row r="15" spans="1:3">
      <c r="A15" s="32" t="s">
        <v>139</v>
      </c>
      <c r="C15" s="91" t="s">
        <v>162</v>
      </c>
    </row>
    <row r="16" spans="1:3">
      <c r="A16" s="32" t="s">
        <v>164</v>
      </c>
      <c r="B16" s="115">
        <v>42471</v>
      </c>
      <c r="C16" s="32" t="s">
        <v>165</v>
      </c>
    </row>
    <row r="17" spans="3:3">
      <c r="C17" s="91" t="s">
        <v>184</v>
      </c>
    </row>
    <row r="18" spans="3:3">
      <c r="C18" s="91" t="s">
        <v>189</v>
      </c>
    </row>
    <row r="19" spans="3:3">
      <c r="C19" s="91" t="s">
        <v>217</v>
      </c>
    </row>
    <row r="20" spans="3:3">
      <c r="C20" s="91" t="s">
        <v>218</v>
      </c>
    </row>
    <row r="21" spans="3:3">
      <c r="C21" s="91" t="s">
        <v>221</v>
      </c>
    </row>
    <row r="22" spans="3:3">
      <c r="C22" s="91" t="s">
        <v>223</v>
      </c>
    </row>
    <row r="23" spans="3:3">
      <c r="C23" s="91" t="s">
        <v>224</v>
      </c>
    </row>
    <row r="24" spans="3:3">
      <c r="C24" s="91" t="s">
        <v>226</v>
      </c>
    </row>
  </sheetData>
  <mergeCells count="2">
    <mergeCell ref="A1:C1"/>
    <mergeCell ref="A2:C2"/>
  </mergeCells>
  <hyperlinks>
    <hyperlink ref="A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7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16</vt:i4>
      </vt:variant>
    </vt:vector>
  </HeadingPairs>
  <TitlesOfParts>
    <vt:vector size="24" baseType="lpstr">
      <vt:lpstr>Calculs</vt:lpstr>
      <vt:lpstr>Villes-Géo</vt:lpstr>
      <vt:lpstr>inclinaison terre</vt:lpstr>
      <vt:lpstr>decallage heure</vt:lpstr>
      <vt:lpstr>heures légales</vt:lpstr>
      <vt:lpstr>Paramêtres</vt:lpstr>
      <vt:lpstr>Versions</vt:lpstr>
      <vt:lpstr>Diagramme solaire</vt:lpstr>
      <vt:lpstr>decl_magn</vt:lpstr>
      <vt:lpstr>eq_tps_L</vt:lpstr>
      <vt:lpstr>H_ete_debut</vt:lpstr>
      <vt:lpstr>H_ete_decallage</vt:lpstr>
      <vt:lpstr>H_ete_Fin</vt:lpstr>
      <vt:lpstr>H_hivers_decallage</vt:lpstr>
      <vt:lpstr>H_legale_Ok</vt:lpstr>
      <vt:lpstr>incl_axe</vt:lpstr>
      <vt:lpstr>jours_annee_siderale</vt:lpstr>
      <vt:lpstr>k_atm</vt:lpstr>
      <vt:lpstr>Lat_radian</vt:lpstr>
      <vt:lpstr>Latitude</vt:lpstr>
      <vt:lpstr>Longitude</vt:lpstr>
      <vt:lpstr>Va</vt:lpstr>
      <vt:lpstr>Va_rad</vt:lpstr>
      <vt:lpstr>Ville_ref</vt:lpstr>
    </vt:vector>
  </TitlesOfParts>
  <Company>xxx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dc:description>Attention ne fonctionne pas avec OpenOffice</dc:description>
  <cp:lastModifiedBy>Alain</cp:lastModifiedBy>
  <cp:lastPrinted>2016-09-28T08:45:40Z</cp:lastPrinted>
  <dcterms:created xsi:type="dcterms:W3CDTF">2003-12-26T16:07:50Z</dcterms:created>
  <dcterms:modified xsi:type="dcterms:W3CDTF">2017-04-10T19:55:18Z</dcterms:modified>
  <dc:language>Français</dc:language>
</cp:coreProperties>
</file>